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85" yWindow="360" windowWidth="7980" windowHeight="4455" activeTab="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fullCalcOnLoad="1"/>
</workbook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<sst xmlns="http://schemas.openxmlformats.org/spreadsheetml/2006/main" count="1884" uniqueCount="315">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</sst>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_)"/>
    <numFmt numFmtId="189" formatCode="0.00_)"/>
    <numFmt numFmtId="190" formatCode="0.0_)"/>
    <numFmt numFmtId="191" formatCode="#,000"/>
    <numFmt numFmtId="192" formatCode="0.000_)"/>
  </numFmts>
  <fonts count="3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5"/>
      <name val="Arial"/>
      <family val="0"/>
    </font>
    <font>
      <sz val="10"/>
      <color indexed="12"/>
      <name val="Courier"/>
      <family val="0"/>
    </font>
    <font>
      <b/>
      <sz val="11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6">
    <xf numFmtId="188" fontId="0" fillId="0" borderId="0" xfId="0" applyAlignment="1">
      <alignment/>
    </xf>
    <xf numFmtId="188" fontId="0" fillId="0" borderId="0" xfId="0" applyAlignment="1" applyProtection="1">
      <alignment/>
      <protection/>
    </xf>
    <xf numFmtId="188" fontId="0" fillId="0" borderId="0" xfId="0" applyAlignment="1" applyProtection="1">
      <alignment horizontal="center"/>
      <protection/>
    </xf>
    <xf numFmtId="188" fontId="0" fillId="0" borderId="0" xfId="0" applyFont="1" applyAlignment="1" applyProtection="1">
      <alignment horizontal="left"/>
      <protection/>
    </xf>
    <xf numFmtId="188" fontId="0" fillId="0" borderId="0" xfId="0" applyFont="1" applyAlignment="1" applyProtection="1">
      <alignment horizontal="center"/>
      <protection/>
    </xf>
    <xf numFmtId="188" fontId="0" fillId="0" borderId="0" xfId="0" applyFont="1" applyAlignment="1" applyProtection="1">
      <alignment/>
      <protection/>
    </xf>
    <xf numFmtId="188" fontId="0" fillId="2" borderId="0" xfId="0" applyFill="1" applyAlignment="1" applyProtection="1">
      <alignment/>
      <protection/>
    </xf>
    <xf numFmtId="188" fontId="0" fillId="2" borderId="0" xfId="0" applyFill="1" applyAlignment="1" applyProtection="1">
      <alignment horizontal="center"/>
      <protection/>
    </xf>
    <xf numFmtId="188" fontId="5" fillId="2" borderId="0" xfId="0" applyFont="1" applyFill="1" applyAlignment="1" applyProtection="1">
      <alignment/>
      <protection/>
    </xf>
    <xf numFmtId="188" fontId="6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/>
      <protection/>
    </xf>
    <xf numFmtId="188" fontId="6" fillId="2" borderId="0" xfId="0" applyFont="1" applyFill="1" applyBorder="1" applyAlignment="1" applyProtection="1">
      <alignment/>
      <protection/>
    </xf>
    <xf numFmtId="188" fontId="7" fillId="2" borderId="0" xfId="0" applyFont="1" applyFill="1" applyBorder="1" applyAlignment="1" applyProtection="1" quotePrefix="1">
      <alignment/>
      <protection/>
    </xf>
    <xf numFmtId="188" fontId="0" fillId="3" borderId="0" xfId="0" applyFill="1" applyAlignment="1" applyProtection="1">
      <alignment/>
      <protection/>
    </xf>
    <xf numFmtId="188" fontId="0" fillId="3" borderId="1" xfId="0" applyFill="1" applyBorder="1" applyAlignment="1" applyProtection="1">
      <alignment/>
      <protection/>
    </xf>
    <xf numFmtId="188" fontId="4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 horizontal="center"/>
      <protection/>
    </xf>
    <xf numFmtId="188" fontId="4" fillId="2" borderId="0" xfId="0" applyFont="1" applyFill="1" applyAlignment="1" applyProtection="1">
      <alignment horizontal="fill"/>
      <protection/>
    </xf>
    <xf numFmtId="188" fontId="4" fillId="2" borderId="0" xfId="0" applyFont="1" applyFill="1" applyAlignment="1" applyProtection="1">
      <alignment horizontal="left"/>
      <protection/>
    </xf>
    <xf numFmtId="188" fontId="4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 horizontal="centerContinuous"/>
      <protection/>
    </xf>
    <xf numFmtId="188" fontId="4" fillId="2" borderId="0" xfId="0" applyFont="1" applyFill="1" applyAlignment="1">
      <alignment horizontal="centerContinuous"/>
    </xf>
    <xf numFmtId="188" fontId="4" fillId="2" borderId="0" xfId="0" applyFont="1" applyFill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Alignment="1">
      <alignment/>
    </xf>
    <xf numFmtId="188" fontId="9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/>
      <protection locked="0"/>
    </xf>
    <xf numFmtId="188" fontId="9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left"/>
      <protection/>
    </xf>
    <xf numFmtId="188" fontId="1" fillId="2" borderId="2" xfId="0" applyFont="1" applyFill="1" applyBorder="1" applyAlignment="1" applyProtection="1" quotePrefix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1" fillId="0" borderId="6" xfId="0" applyFont="1" applyFill="1" applyBorder="1" applyAlignment="1" applyProtection="1">
      <alignment/>
      <protection locked="0"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8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 quotePrefix="1">
      <alignment horizontal="center"/>
      <protection/>
    </xf>
    <xf numFmtId="188" fontId="1" fillId="2" borderId="10" xfId="0" applyFont="1" applyFill="1" applyBorder="1" applyAlignment="1" applyProtection="1">
      <alignment horizontal="center"/>
      <protection/>
    </xf>
    <xf numFmtId="188" fontId="1" fillId="2" borderId="11" xfId="0" applyFont="1" applyFill="1" applyBorder="1" applyAlignment="1" applyProtection="1" quotePrefix="1">
      <alignment horizontal="center"/>
      <protection/>
    </xf>
    <xf numFmtId="188" fontId="1" fillId="2" borderId="12" xfId="0" applyFont="1" applyFill="1" applyBorder="1" applyAlignment="1" applyProtection="1" quotePrefix="1">
      <alignment horizontal="center"/>
      <protection/>
    </xf>
    <xf numFmtId="188" fontId="1" fillId="2" borderId="13" xfId="0" applyFont="1" applyFill="1" applyBorder="1" applyAlignment="1" applyProtection="1">
      <alignment horizontal="center"/>
      <protection/>
    </xf>
    <xf numFmtId="188" fontId="4" fillId="2" borderId="14" xfId="0" applyFont="1" applyFill="1" applyBorder="1" applyAlignment="1" applyProtection="1">
      <alignment/>
      <protection/>
    </xf>
    <xf numFmtId="188" fontId="4" fillId="2" borderId="14" xfId="0" applyFont="1" applyFill="1" applyBorder="1" applyAlignment="1" applyProtection="1">
      <alignment horizontal="center"/>
      <protection/>
    </xf>
    <xf numFmtId="188" fontId="4" fillId="2" borderId="15" xfId="0" applyFont="1" applyFill="1" applyBorder="1" applyAlignment="1" applyProtection="1">
      <alignment/>
      <protection/>
    </xf>
    <xf numFmtId="188" fontId="4" fillId="2" borderId="16" xfId="0" applyFont="1" applyFill="1" applyBorder="1" applyAlignment="1" applyProtection="1">
      <alignment horizontal="center"/>
      <protection/>
    </xf>
    <xf numFmtId="188" fontId="4" fillId="2" borderId="1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center"/>
      <protection/>
    </xf>
    <xf numFmtId="188" fontId="4" fillId="2" borderId="19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/>
      <protection/>
    </xf>
    <xf numFmtId="188" fontId="4" fillId="2" borderId="21" xfId="0" applyFont="1" applyFill="1" applyBorder="1" applyAlignment="1" applyProtection="1">
      <alignment horizontal="center"/>
      <protection/>
    </xf>
    <xf numFmtId="188" fontId="4" fillId="2" borderId="22" xfId="0" applyFont="1" applyFill="1" applyBorder="1" applyAlignment="1" applyProtection="1">
      <alignment horizontal="center"/>
      <protection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23" xfId="0" applyFont="1" applyFill="1" applyBorder="1" applyAlignment="1" applyProtection="1" quotePrefix="1">
      <alignment horizontal="center"/>
      <protection/>
    </xf>
    <xf numFmtId="188" fontId="1" fillId="2" borderId="24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 quotePrefix="1">
      <alignment horizontal="centerContinuous"/>
      <protection/>
    </xf>
    <xf numFmtId="188" fontId="1" fillId="2" borderId="25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>
      <alignment horizontal="centerContinuous"/>
      <protection/>
    </xf>
    <xf numFmtId="188" fontId="4" fillId="2" borderId="25" xfId="0" applyFont="1" applyFill="1" applyBorder="1" applyAlignment="1" applyProtection="1">
      <alignment horizontal="centerContinuous"/>
      <protection/>
    </xf>
    <xf numFmtId="188" fontId="1" fillId="2" borderId="26" xfId="0" applyFont="1" applyFill="1" applyBorder="1" applyAlignment="1" applyProtection="1">
      <alignment horizontal="center"/>
      <protection/>
    </xf>
    <xf numFmtId="188" fontId="4" fillId="2" borderId="27" xfId="0" applyFont="1" applyFill="1" applyBorder="1" applyAlignment="1" applyProtection="1">
      <alignment horizontal="center"/>
      <protection/>
    </xf>
    <xf numFmtId="188" fontId="1" fillId="2" borderId="26" xfId="0" applyFont="1" applyFill="1" applyBorder="1" applyAlignment="1" applyProtection="1" quotePrefix="1">
      <alignment horizontal="center"/>
      <protection/>
    </xf>
    <xf numFmtId="188" fontId="1" fillId="2" borderId="26" xfId="0" applyFont="1" applyFill="1" applyBorder="1" applyAlignment="1" applyProtection="1">
      <alignment/>
      <protection/>
    </xf>
    <xf numFmtId="188" fontId="1" fillId="2" borderId="18" xfId="0" applyFont="1" applyFill="1" applyBorder="1" applyAlignment="1" applyProtection="1">
      <alignment/>
      <protection/>
    </xf>
    <xf numFmtId="188" fontId="4" fillId="2" borderId="8" xfId="0" applyFont="1" applyFill="1" applyBorder="1" applyAlignment="1" applyProtection="1">
      <alignment horizontal="center"/>
      <protection/>
    </xf>
    <xf numFmtId="188" fontId="4" fillId="2" borderId="28" xfId="0" applyFont="1" applyFill="1" applyBorder="1" applyAlignment="1" applyProtection="1">
      <alignment/>
      <protection/>
    </xf>
    <xf numFmtId="188" fontId="4" fillId="2" borderId="29" xfId="0" applyFont="1" applyFill="1" applyBorder="1" applyAlignment="1" applyProtection="1">
      <alignment/>
      <protection/>
    </xf>
    <xf numFmtId="188" fontId="4" fillId="2" borderId="30" xfId="0" applyFont="1" applyFill="1" applyBorder="1" applyAlignment="1" applyProtection="1">
      <alignment/>
      <protection/>
    </xf>
    <xf numFmtId="188" fontId="4" fillId="2" borderId="31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>
      <alignment/>
      <protection/>
    </xf>
    <xf numFmtId="188" fontId="4" fillId="2" borderId="27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fill"/>
      <protection/>
    </xf>
    <xf numFmtId="188" fontId="4" fillId="2" borderId="27" xfId="0" applyFont="1" applyFill="1" applyBorder="1" applyAlignment="1" applyProtection="1">
      <alignment horizontal="left"/>
      <protection/>
    </xf>
    <xf numFmtId="188" fontId="4" fillId="2" borderId="32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fill"/>
      <protection/>
    </xf>
    <xf numFmtId="188" fontId="4" fillId="2" borderId="8" xfId="0" applyFont="1" applyFill="1" applyBorder="1" applyAlignment="1" applyProtection="1">
      <alignment/>
      <protection/>
    </xf>
    <xf numFmtId="188" fontId="4" fillId="2" borderId="15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 horizontal="center"/>
      <protection/>
    </xf>
    <xf numFmtId="188" fontId="4" fillId="2" borderId="33" xfId="0" applyFont="1" applyFill="1" applyBorder="1" applyAlignment="1" applyProtection="1">
      <alignment horizontal="center"/>
      <protection/>
    </xf>
    <xf numFmtId="188" fontId="1" fillId="2" borderId="34" xfId="0" applyFont="1" applyFill="1" applyBorder="1" applyAlignment="1" applyProtection="1">
      <alignment horizontal="center"/>
      <protection/>
    </xf>
    <xf numFmtId="188" fontId="4" fillId="2" borderId="35" xfId="0" applyFont="1" applyFill="1" applyBorder="1" applyAlignment="1" applyProtection="1">
      <alignment horizontal="center"/>
      <protection/>
    </xf>
    <xf numFmtId="188" fontId="4" fillId="2" borderId="36" xfId="0" applyFont="1" applyFill="1" applyBorder="1" applyAlignment="1" applyProtection="1">
      <alignment horizontal="center"/>
      <protection/>
    </xf>
    <xf numFmtId="188" fontId="4" fillId="2" borderId="37" xfId="0" applyFont="1" applyFill="1" applyBorder="1" applyAlignment="1" applyProtection="1">
      <alignment horizontal="center"/>
      <protection/>
    </xf>
    <xf numFmtId="188" fontId="1" fillId="2" borderId="10" xfId="0" applyFont="1" applyFill="1" applyBorder="1" applyAlignment="1" applyProtection="1">
      <alignment horizontal="centerContinuous"/>
      <protection/>
    </xf>
    <xf numFmtId="188" fontId="1" fillId="2" borderId="34" xfId="0" applyFont="1" applyFill="1" applyBorder="1" applyAlignment="1" applyProtection="1">
      <alignment horizontal="left"/>
      <protection/>
    </xf>
    <xf numFmtId="188" fontId="10" fillId="2" borderId="36" xfId="0" applyFont="1" applyFill="1" applyBorder="1" applyAlignment="1" applyProtection="1">
      <alignment horizontal="center"/>
      <protection/>
    </xf>
    <xf numFmtId="188" fontId="10" fillId="2" borderId="35" xfId="0" applyFont="1" applyFill="1" applyBorder="1" applyAlignment="1" applyProtection="1">
      <alignment horizontal="centerContinuous"/>
      <protection/>
    </xf>
    <xf numFmtId="188" fontId="4" fillId="2" borderId="36" xfId="0" applyFont="1" applyFill="1" applyBorder="1" applyAlignment="1" applyProtection="1">
      <alignment horizontal="centerContinuous"/>
      <protection/>
    </xf>
    <xf numFmtId="188" fontId="10" fillId="2" borderId="35" xfId="0" applyFont="1" applyFill="1" applyBorder="1" applyAlignment="1" applyProtection="1">
      <alignment horizontal="center"/>
      <protection/>
    </xf>
    <xf numFmtId="188" fontId="10" fillId="2" borderId="3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left"/>
      <protection/>
    </xf>
    <xf numFmtId="188" fontId="10" fillId="2" borderId="20" xfId="0" applyFont="1" applyFill="1" applyBorder="1" applyAlignment="1" applyProtection="1">
      <alignment horizontal="center"/>
      <protection/>
    </xf>
    <xf numFmtId="188" fontId="10" fillId="2" borderId="19" xfId="0" applyFont="1" applyFill="1" applyBorder="1" applyAlignment="1" applyProtection="1">
      <alignment horizontal="centerContinuous"/>
      <protection/>
    </xf>
    <xf numFmtId="188" fontId="4" fillId="2" borderId="20" xfId="0" applyFont="1" applyFill="1" applyBorder="1" applyAlignment="1" applyProtection="1">
      <alignment horizontal="centerContinuous"/>
      <protection/>
    </xf>
    <xf numFmtId="188" fontId="10" fillId="2" borderId="19" xfId="0" applyFont="1" applyFill="1" applyBorder="1" applyAlignment="1" applyProtection="1">
      <alignment horizontal="center"/>
      <protection/>
    </xf>
    <xf numFmtId="188" fontId="10" fillId="2" borderId="8" xfId="0" applyFont="1" applyFill="1" applyBorder="1" applyAlignment="1" applyProtection="1">
      <alignment horizontal="center"/>
      <protection/>
    </xf>
    <xf numFmtId="188" fontId="10" fillId="2" borderId="15" xfId="0" applyFont="1" applyFill="1" applyBorder="1" applyAlignment="1" applyProtection="1">
      <alignment horizontal="center"/>
      <protection/>
    </xf>
    <xf numFmtId="188" fontId="10" fillId="2" borderId="14" xfId="0" applyFont="1" applyFill="1" applyBorder="1" applyAlignment="1" applyProtection="1">
      <alignment horizontal="centerContinuous"/>
      <protection/>
    </xf>
    <xf numFmtId="188" fontId="4" fillId="2" borderId="15" xfId="0" applyFont="1" applyFill="1" applyBorder="1" applyAlignment="1" applyProtection="1">
      <alignment horizontal="centerContinuous"/>
      <protection/>
    </xf>
    <xf numFmtId="188" fontId="10" fillId="2" borderId="14" xfId="0" applyFont="1" applyFill="1" applyBorder="1" applyAlignment="1" applyProtection="1">
      <alignment horizont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4" fillId="3" borderId="0" xfId="0" applyFont="1" applyFill="1" applyAlignment="1">
      <alignment/>
    </xf>
    <xf numFmtId="188" fontId="4" fillId="4" borderId="0" xfId="0" applyFont="1" applyFill="1" applyBorder="1" applyAlignment="1" applyProtection="1">
      <alignment horizontal="fill"/>
      <protection/>
    </xf>
    <xf numFmtId="1" fontId="11" fillId="0" borderId="6" xfId="17" applyNumberFormat="1" applyFont="1" applyFill="1" applyBorder="1" applyAlignment="1" applyProtection="1">
      <alignment horizontal="center" vertical="center"/>
      <protection/>
    </xf>
    <xf numFmtId="188" fontId="4" fillId="5" borderId="38" xfId="0" applyFont="1" applyFill="1" applyBorder="1" applyAlignment="1" applyProtection="1">
      <alignment horizontal="centerContinuous" vertical="center" wrapText="1"/>
      <protection/>
    </xf>
    <xf numFmtId="188" fontId="4" fillId="2" borderId="0" xfId="0" applyFont="1" applyFill="1" applyAlignment="1">
      <alignment/>
    </xf>
    <xf numFmtId="188" fontId="4" fillId="2" borderId="0" xfId="0" applyFont="1" applyFill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horizontal="center"/>
      <protection/>
    </xf>
    <xf numFmtId="188" fontId="4" fillId="2" borderId="0" xfId="0" applyFont="1" applyFill="1" applyBorder="1" applyAlignment="1">
      <alignment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0" xfId="0" applyFont="1" applyFill="1" applyAlignment="1" applyProtection="1">
      <alignment horizontal="left"/>
      <protection/>
    </xf>
    <xf numFmtId="188" fontId="0" fillId="2" borderId="0" xfId="0" applyFill="1" applyAlignment="1">
      <alignment/>
    </xf>
    <xf numFmtId="188" fontId="4" fillId="2" borderId="1" xfId="0" applyFont="1" applyFill="1" applyBorder="1" applyAlignment="1" applyProtection="1">
      <alignment horizontal="fill"/>
      <protection/>
    </xf>
    <xf numFmtId="188" fontId="4" fillId="2" borderId="1" xfId="0" applyFont="1" applyFill="1" applyBorder="1" applyAlignment="1">
      <alignment/>
    </xf>
    <xf numFmtId="188" fontId="4" fillId="2" borderId="39" xfId="0" applyFont="1" applyFill="1" applyBorder="1" applyAlignment="1" applyProtection="1">
      <alignment horizontal="center"/>
      <protection/>
    </xf>
    <xf numFmtId="188" fontId="6" fillId="2" borderId="0" xfId="0" applyFont="1" applyFill="1" applyAlignment="1" applyProtection="1" quotePrefix="1">
      <alignment horizontal="left"/>
      <protection/>
    </xf>
    <xf numFmtId="188" fontId="11" fillId="0" borderId="6" xfId="0" applyFont="1" applyFill="1" applyBorder="1" applyAlignment="1" applyProtection="1">
      <alignment horizontal="center"/>
      <protection locked="0"/>
    </xf>
    <xf numFmtId="188" fontId="1" fillId="2" borderId="40" xfId="0" applyFont="1" applyFill="1" applyBorder="1" applyAlignment="1" applyProtection="1">
      <alignment horizontal="center"/>
      <protection/>
    </xf>
    <xf numFmtId="188" fontId="4" fillId="2" borderId="41" xfId="0" applyFont="1" applyFill="1" applyBorder="1" applyAlignment="1">
      <alignment/>
    </xf>
    <xf numFmtId="188" fontId="4" fillId="3" borderId="0" xfId="0" applyFont="1" applyFill="1" applyAlignment="1" applyProtection="1">
      <alignment/>
      <protection/>
    </xf>
    <xf numFmtId="188" fontId="4" fillId="2" borderId="41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/>
      <protection/>
    </xf>
    <xf numFmtId="188" fontId="12" fillId="4" borderId="0" xfId="0" applyFont="1" applyFill="1" applyBorder="1" applyAlignment="1" applyProtection="1">
      <alignment horizontal="left" vertical="top"/>
      <protection/>
    </xf>
    <xf numFmtId="188" fontId="4" fillId="4" borderId="0" xfId="0" applyFont="1" applyFill="1" applyBorder="1" applyAlignment="1" applyProtection="1" quotePrefix="1">
      <alignment horizontal="left" vertical="top"/>
      <protection/>
    </xf>
    <xf numFmtId="188" fontId="4" fillId="4" borderId="0" xfId="0" applyFont="1" applyFill="1" applyBorder="1" applyAlignment="1" applyProtection="1">
      <alignment vertical="top"/>
      <protection/>
    </xf>
    <xf numFmtId="188" fontId="1" fillId="4" borderId="0" xfId="0" applyFont="1" applyFill="1" applyBorder="1" applyAlignment="1" applyProtection="1" quotePrefix="1">
      <alignment horizontal="right" vertical="center"/>
      <protection/>
    </xf>
    <xf numFmtId="188" fontId="4" fillId="4" borderId="0" xfId="0" applyFont="1" applyFill="1" applyBorder="1" applyAlignment="1" applyProtection="1">
      <alignment horizontal="left" vertical="top"/>
      <protection/>
    </xf>
    <xf numFmtId="188" fontId="1" fillId="4" borderId="0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 horizontal="left"/>
      <protection/>
    </xf>
    <xf numFmtId="188" fontId="1" fillId="4" borderId="0" xfId="0" applyFont="1" applyFill="1" applyBorder="1" applyAlignment="1" applyProtection="1" quotePrefix="1">
      <alignment horizontal="right"/>
      <protection/>
    </xf>
    <xf numFmtId="188" fontId="4" fillId="4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/>
      <protection/>
    </xf>
    <xf numFmtId="188" fontId="4" fillId="4" borderId="43" xfId="0" applyFont="1" applyFill="1" applyBorder="1" applyAlignment="1" applyProtection="1">
      <alignment/>
      <protection/>
    </xf>
    <xf numFmtId="188" fontId="4" fillId="4" borderId="44" xfId="0" applyFont="1" applyFill="1" applyBorder="1" applyAlignment="1" applyProtection="1">
      <alignment/>
      <protection/>
    </xf>
    <xf numFmtId="188" fontId="4" fillId="4" borderId="40" xfId="0" applyFont="1" applyFill="1" applyBorder="1" applyAlignment="1" applyProtection="1">
      <alignment horizontal="left"/>
      <protection/>
    </xf>
    <xf numFmtId="188" fontId="4" fillId="4" borderId="16" xfId="0" applyFont="1" applyFill="1" applyBorder="1" applyAlignment="1" applyProtection="1">
      <alignment/>
      <protection/>
    </xf>
    <xf numFmtId="188" fontId="4" fillId="4" borderId="14" xfId="0" applyFont="1" applyFill="1" applyBorder="1" applyAlignment="1" applyProtection="1">
      <alignment/>
      <protection/>
    </xf>
    <xf numFmtId="188" fontId="4" fillId="4" borderId="15" xfId="0" applyFont="1" applyFill="1" applyBorder="1" applyAlignment="1" applyProtection="1">
      <alignment/>
      <protection/>
    </xf>
    <xf numFmtId="188" fontId="4" fillId="2" borderId="45" xfId="0" applyFont="1" applyFill="1" applyBorder="1" applyAlignment="1" applyProtection="1">
      <alignment/>
      <protection/>
    </xf>
    <xf numFmtId="188" fontId="4" fillId="2" borderId="41" xfId="0" applyFont="1" applyFill="1" applyBorder="1" applyAlignment="1" applyProtection="1">
      <alignment horizontal="left"/>
      <protection/>
    </xf>
    <xf numFmtId="188" fontId="1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left"/>
      <protection/>
    </xf>
    <xf numFmtId="188" fontId="4" fillId="4" borderId="40" xfId="0" applyFont="1" applyFill="1" applyBorder="1" applyAlignment="1" applyProtection="1">
      <alignment/>
      <protection/>
    </xf>
    <xf numFmtId="188" fontId="4" fillId="4" borderId="16" xfId="0" applyFont="1" applyFill="1" applyBorder="1" applyAlignment="1" applyProtection="1">
      <alignment horizontal="left"/>
      <protection/>
    </xf>
    <xf numFmtId="188" fontId="4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fill"/>
      <protection/>
    </xf>
    <xf numFmtId="188" fontId="4" fillId="4" borderId="16" xfId="0" applyFont="1" applyFill="1" applyBorder="1" applyAlignment="1" applyProtection="1">
      <alignment horizontal="fill"/>
      <protection/>
    </xf>
    <xf numFmtId="188" fontId="4" fillId="4" borderId="14" xfId="0" applyFont="1" applyFill="1" applyBorder="1" applyAlignment="1" applyProtection="1">
      <alignment horizontal="fill"/>
      <protection/>
    </xf>
    <xf numFmtId="188" fontId="4" fillId="4" borderId="15" xfId="0" applyFont="1" applyFill="1" applyBorder="1" applyAlignment="1" applyProtection="1">
      <alignment horizontal="fill"/>
      <protection/>
    </xf>
    <xf numFmtId="188" fontId="4" fillId="4" borderId="46" xfId="0" applyFont="1" applyFill="1" applyBorder="1" applyAlignment="1" applyProtection="1">
      <alignment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8" fillId="2" borderId="0" xfId="0" applyFont="1" applyFill="1" applyAlignment="1" applyProtection="1" quotePrefix="1">
      <alignment horizontal="left"/>
      <protection/>
    </xf>
    <xf numFmtId="188" fontId="1" fillId="4" borderId="0" xfId="0" applyFont="1" applyFill="1" applyBorder="1" applyAlignment="1" applyProtection="1">
      <alignment horizontal="right" vertical="center"/>
      <protection/>
    </xf>
    <xf numFmtId="188" fontId="4" fillId="4" borderId="14" xfId="0" applyFont="1" applyFill="1" applyBorder="1" applyAlignment="1" applyProtection="1">
      <alignment vertical="top"/>
      <protection/>
    </xf>
    <xf numFmtId="188" fontId="4" fillId="4" borderId="14" xfId="0" applyFont="1" applyFill="1" applyBorder="1" applyAlignment="1" applyProtection="1">
      <alignment horizontal="right" vertical="top"/>
      <protection/>
    </xf>
    <xf numFmtId="188" fontId="4" fillId="2" borderId="14" xfId="0" applyFont="1" applyFill="1" applyBorder="1" applyAlignment="1" applyProtection="1">
      <alignment vertical="top"/>
      <protection/>
    </xf>
    <xf numFmtId="188" fontId="4" fillId="2" borderId="14" xfId="0" applyFont="1" applyFill="1" applyBorder="1" applyAlignment="1" applyProtection="1">
      <alignment horizontal="right" vertical="top"/>
      <protection/>
    </xf>
    <xf numFmtId="188" fontId="8" fillId="2" borderId="0" xfId="0" applyFont="1" applyFill="1" applyBorder="1" applyAlignment="1" applyProtection="1" quotePrefix="1">
      <alignment horizontal="left"/>
      <protection/>
    </xf>
    <xf numFmtId="188" fontId="12" fillId="4" borderId="0" xfId="0" applyFont="1" applyFill="1" applyBorder="1" applyAlignment="1" applyProtection="1" quotePrefix="1">
      <alignment horizontal="left" vertical="top"/>
      <protection/>
    </xf>
    <xf numFmtId="188" fontId="15" fillId="2" borderId="0" xfId="0" applyFont="1" applyFill="1" applyAlignment="1" applyProtection="1" quotePrefix="1">
      <alignment horizontal="left"/>
      <protection/>
    </xf>
    <xf numFmtId="188" fontId="15" fillId="2" borderId="0" xfId="0" applyFont="1" applyFill="1" applyAlignment="1" applyProtection="1" quotePrefix="1">
      <alignment horizontal="centerContinuous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3" fillId="5" borderId="38" xfId="0" applyFont="1" applyFill="1" applyBorder="1" applyAlignment="1" applyProtection="1">
      <alignment horizontal="centerContinuous" vertical="center" wrapText="1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9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 applyProtection="1" quotePrefix="1">
      <alignment horizontal="centerContinuous"/>
      <protection/>
    </xf>
    <xf numFmtId="188" fontId="1" fillId="2" borderId="0" xfId="0" applyFont="1" applyFill="1" applyAlignment="1" applyProtection="1" quotePrefix="1">
      <alignment horizontal="center"/>
      <protection/>
    </xf>
    <xf numFmtId="188" fontId="4" fillId="2" borderId="45" xfId="0" applyFont="1" applyFill="1" applyBorder="1" applyAlignment="1" applyProtection="1">
      <alignment horizontal="fill"/>
      <protection/>
    </xf>
    <xf numFmtId="188" fontId="0" fillId="2" borderId="45" xfId="0" applyFill="1" applyBorder="1" applyAlignment="1" applyProtection="1">
      <alignment/>
      <protection/>
    </xf>
    <xf numFmtId="188" fontId="9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fill"/>
      <protection/>
    </xf>
    <xf numFmtId="188" fontId="17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>
      <alignment/>
    </xf>
    <xf numFmtId="188" fontId="5" fillId="2" borderId="0" xfId="0" applyFont="1" applyFill="1" applyAlignment="1">
      <alignment horizontal="left"/>
    </xf>
    <xf numFmtId="188" fontId="10" fillId="2" borderId="0" xfId="0" applyFont="1" applyFill="1" applyBorder="1" applyAlignment="1" applyProtection="1">
      <alignment/>
      <protection locked="0"/>
    </xf>
    <xf numFmtId="9" fontId="4" fillId="2" borderId="0" xfId="17" applyFont="1" applyFill="1" applyAlignment="1" applyProtection="1">
      <alignment/>
      <protection/>
    </xf>
    <xf numFmtId="9" fontId="4" fillId="2" borderId="0" xfId="17" applyFont="1" applyFill="1" applyAlignment="1">
      <alignment/>
    </xf>
    <xf numFmtId="188" fontId="4" fillId="3" borderId="0" xfId="0" applyFont="1" applyFill="1" applyAlignment="1" applyProtection="1">
      <alignment/>
      <protection locked="0"/>
    </xf>
    <xf numFmtId="188" fontId="11" fillId="0" borderId="6" xfId="0" applyFont="1" applyFill="1" applyBorder="1" applyAlignment="1" applyProtection="1">
      <alignment horizontal="center"/>
      <protection/>
    </xf>
    <xf numFmtId="188" fontId="4" fillId="2" borderId="6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 quotePrefix="1">
      <alignment horizontal="center"/>
      <protection/>
    </xf>
    <xf numFmtId="188" fontId="1" fillId="2" borderId="29" xfId="0" applyFont="1" applyFill="1" applyBorder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Continuous"/>
      <protection/>
    </xf>
    <xf numFmtId="188" fontId="1" fillId="2" borderId="29" xfId="0" applyFont="1" applyFill="1" applyBorder="1" applyAlignment="1" applyProtection="1">
      <alignment horizontal="center"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1" fillId="2" borderId="31" xfId="0" applyFont="1" applyFill="1" applyBorder="1" applyAlignment="1" applyProtection="1" quotePrefix="1">
      <alignment horizontal="center"/>
      <protection/>
    </xf>
    <xf numFmtId="188" fontId="1" fillId="2" borderId="28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/>
      <protection/>
    </xf>
    <xf numFmtId="188" fontId="1" fillId="2" borderId="30" xfId="0" applyFont="1" applyFill="1" applyBorder="1" applyAlignment="1" applyProtection="1">
      <alignment/>
      <protection/>
    </xf>
    <xf numFmtId="188" fontId="1" fillId="2" borderId="27" xfId="0" applyFont="1" applyFill="1" applyBorder="1" applyAlignment="1" applyProtection="1">
      <alignment/>
      <protection/>
    </xf>
    <xf numFmtId="188" fontId="1" fillId="2" borderId="28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 horizontal="center"/>
      <protection/>
    </xf>
    <xf numFmtId="188" fontId="10" fillId="2" borderId="6" xfId="0" applyFont="1" applyFill="1" applyBorder="1" applyAlignment="1" applyProtection="1">
      <alignment horizontal="center"/>
      <protection/>
    </xf>
    <xf numFmtId="188" fontId="10" fillId="2" borderId="47" xfId="0" applyFont="1" applyFill="1" applyBorder="1" applyAlignment="1" applyProtection="1">
      <alignment horizontal="center"/>
      <protection/>
    </xf>
    <xf numFmtId="188" fontId="11" fillId="0" borderId="48" xfId="0" applyFont="1" applyFill="1" applyBorder="1" applyAlignment="1" applyProtection="1">
      <alignment horizontal="center"/>
      <protection locked="0"/>
    </xf>
    <xf numFmtId="188" fontId="4" fillId="2" borderId="48" xfId="0" applyFont="1" applyFill="1" applyBorder="1" applyAlignment="1" applyProtection="1">
      <alignment horizontal="center"/>
      <protection/>
    </xf>
    <xf numFmtId="188" fontId="4" fillId="2" borderId="49" xfId="0" applyFont="1" applyFill="1" applyBorder="1" applyAlignment="1" applyProtection="1">
      <alignment horizontal="center"/>
      <protection/>
    </xf>
    <xf numFmtId="188" fontId="4" fillId="2" borderId="47" xfId="0" applyFont="1" applyFill="1" applyBorder="1" applyAlignment="1" applyProtection="1">
      <alignment horizontal="center"/>
      <protection/>
    </xf>
    <xf numFmtId="188" fontId="11" fillId="2" borderId="0" xfId="0" applyFont="1" applyFill="1" applyBorder="1" applyAlignment="1" applyProtection="1">
      <alignment horizontal="center"/>
      <protection/>
    </xf>
    <xf numFmtId="188" fontId="8" fillId="2" borderId="0" xfId="0" applyFont="1" applyFill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"/>
      <protection/>
    </xf>
    <xf numFmtId="188" fontId="0" fillId="2" borderId="0" xfId="0" applyFill="1" applyBorder="1" applyAlignment="1">
      <alignment/>
    </xf>
    <xf numFmtId="188" fontId="10" fillId="4" borderId="6" xfId="0" applyFont="1" applyFill="1" applyBorder="1" applyAlignment="1" applyProtection="1">
      <alignment horizontal="centerContinuous"/>
      <protection/>
    </xf>
    <xf numFmtId="188" fontId="13" fillId="5" borderId="50" xfId="0" applyFont="1" applyFill="1" applyBorder="1" applyAlignment="1" applyProtection="1">
      <alignment horizontal="centerContinuous" vertical="center" wrapText="1"/>
      <protection/>
    </xf>
    <xf numFmtId="188" fontId="9" fillId="2" borderId="0" xfId="0" applyFont="1" applyFill="1" applyAlignment="1" applyProtection="1">
      <alignment/>
      <protection locked="0"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 quotePrefix="1">
      <alignment horizontal="center"/>
      <protection/>
    </xf>
    <xf numFmtId="188" fontId="1" fillId="2" borderId="36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 quotePrefix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fill"/>
      <protection/>
    </xf>
    <xf numFmtId="188" fontId="4" fillId="2" borderId="54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>
      <alignment/>
    </xf>
    <xf numFmtId="188" fontId="4" fillId="2" borderId="55" xfId="0" applyFont="1" applyFill="1" applyBorder="1" applyAlignment="1">
      <alignment/>
    </xf>
    <xf numFmtId="188" fontId="21" fillId="0" borderId="56" xfId="0" applyFont="1" applyFill="1" applyBorder="1" applyAlignment="1">
      <alignment horizontal="centerContinuous"/>
    </xf>
    <xf numFmtId="188" fontId="0" fillId="0" borderId="57" xfId="0" applyFill="1" applyBorder="1" applyAlignment="1">
      <alignment horizontal="centerContinuous"/>
    </xf>
    <xf numFmtId="188" fontId="4" fillId="0" borderId="51" xfId="0" applyFont="1" applyFill="1" applyBorder="1" applyAlignment="1" applyProtection="1">
      <alignment horizontal="centerContinuous"/>
      <protection/>
    </xf>
    <xf numFmtId="188" fontId="0" fillId="0" borderId="57" xfId="0" applyBorder="1" applyAlignment="1">
      <alignment horizontal="centerContinuous"/>
    </xf>
    <xf numFmtId="188" fontId="0" fillId="2" borderId="41" xfId="0" applyFill="1" applyBorder="1" applyAlignment="1" applyProtection="1">
      <alignment/>
      <protection/>
    </xf>
    <xf numFmtId="188" fontId="9" fillId="2" borderId="53" xfId="0" applyFont="1" applyFill="1" applyBorder="1" applyAlignment="1" applyProtection="1">
      <alignment/>
      <protection/>
    </xf>
    <xf numFmtId="188" fontId="4" fillId="2" borderId="58" xfId="0" applyFont="1" applyFill="1" applyBorder="1" applyAlignment="1" applyProtection="1">
      <alignment/>
      <protection/>
    </xf>
    <xf numFmtId="188" fontId="0" fillId="3" borderId="55" xfId="0" applyFill="1" applyBorder="1" applyAlignment="1" applyProtection="1">
      <alignment/>
      <protection/>
    </xf>
    <xf numFmtId="188" fontId="0" fillId="3" borderId="53" xfId="0" applyFill="1" applyBorder="1" applyAlignment="1" applyProtection="1">
      <alignment/>
      <protection/>
    </xf>
    <xf numFmtId="188" fontId="0" fillId="2" borderId="53" xfId="0" applyFill="1" applyBorder="1" applyAlignment="1" applyProtection="1">
      <alignment/>
      <protection/>
    </xf>
    <xf numFmtId="188" fontId="4" fillId="2" borderId="33" xfId="0" applyFont="1" applyFill="1" applyBorder="1" applyAlignment="1" applyProtection="1">
      <alignment horizontal="center" vertical="center" wrapText="1"/>
      <protection/>
    </xf>
    <xf numFmtId="188" fontId="1" fillId="2" borderId="0" xfId="0" applyFont="1" applyFill="1" applyBorder="1" applyAlignment="1" applyProtection="1" quotePrefix="1">
      <alignment horizontal="center"/>
      <protection/>
    </xf>
    <xf numFmtId="188" fontId="22" fillId="0" borderId="6" xfId="0" applyFont="1" applyBorder="1" applyAlignment="1">
      <alignment horizontal="center"/>
    </xf>
    <xf numFmtId="188" fontId="1" fillId="2" borderId="31" xfId="0" applyFont="1" applyFill="1" applyBorder="1" applyAlignment="1" applyProtection="1">
      <alignment horizontal="right"/>
      <protection/>
    </xf>
    <xf numFmtId="188" fontId="1" fillId="2" borderId="31" xfId="0" applyFont="1" applyFill="1" applyBorder="1" applyAlignment="1" applyProtection="1" quotePrefix="1">
      <alignment horizontal="right"/>
      <protection/>
    </xf>
    <xf numFmtId="188" fontId="4" fillId="4" borderId="42" xfId="0" applyFont="1" applyFill="1" applyBorder="1" applyAlignment="1" applyProtection="1">
      <alignment vertical="top"/>
      <protection/>
    </xf>
    <xf numFmtId="188" fontId="4" fillId="4" borderId="42" xfId="0" applyFont="1" applyFill="1" applyBorder="1" applyAlignment="1" applyProtection="1">
      <alignment horizontal="right" vertical="top"/>
      <protection/>
    </xf>
    <xf numFmtId="188" fontId="11" fillId="2" borderId="0" xfId="0" applyFont="1" applyFill="1" applyAlignment="1" applyProtection="1">
      <alignment/>
      <protection locked="0"/>
    </xf>
    <xf numFmtId="189" fontId="10" fillId="4" borderId="6" xfId="0" applyNumberFormat="1" applyFont="1" applyFill="1" applyBorder="1" applyAlignment="1" applyProtection="1">
      <alignment horizontal="center"/>
      <protection/>
    </xf>
    <xf numFmtId="188" fontId="23" fillId="0" borderId="6" xfId="0" applyFont="1" applyFill="1" applyBorder="1" applyAlignment="1" applyProtection="1">
      <alignment horizontal="center" vertical="center"/>
      <protection/>
    </xf>
    <xf numFmtId="188" fontId="8" fillId="4" borderId="56" xfId="0" applyFont="1" applyFill="1" applyBorder="1" applyAlignment="1" applyProtection="1">
      <alignment horizontal="center" vertical="center"/>
      <protection/>
    </xf>
    <xf numFmtId="188" fontId="8" fillId="2" borderId="0" xfId="0" applyFont="1" applyFill="1" applyBorder="1" applyAlignment="1" applyProtection="1">
      <alignment horizontal="center" vertical="center"/>
      <protection/>
    </xf>
    <xf numFmtId="188" fontId="23" fillId="2" borderId="0" xfId="0" applyFont="1" applyFill="1" applyBorder="1" applyAlignment="1" applyProtection="1">
      <alignment horizontal="center" vertical="center"/>
      <protection/>
    </xf>
    <xf numFmtId="188" fontId="4" fillId="2" borderId="0" xfId="0" applyFont="1" applyFill="1" applyAlignment="1" applyProtection="1">
      <alignment wrapText="1"/>
      <protection locked="0"/>
    </xf>
    <xf numFmtId="188" fontId="24" fillId="6" borderId="46" xfId="0" applyFont="1" applyFill="1" applyBorder="1" applyAlignment="1" applyProtection="1">
      <alignment horizontal="centerContinuous"/>
      <protection/>
    </xf>
    <xf numFmtId="188" fontId="25" fillId="6" borderId="42" xfId="0" applyFont="1" applyFill="1" applyBorder="1" applyAlignment="1" applyProtection="1">
      <alignment horizontal="centerContinuous"/>
      <protection/>
    </xf>
    <xf numFmtId="188" fontId="25" fillId="6" borderId="43" xfId="0" applyFont="1" applyFill="1" applyBorder="1" applyAlignment="1" applyProtection="1">
      <alignment horizontal="centerContinuous"/>
      <protection/>
    </xf>
    <xf numFmtId="188" fontId="26" fillId="6" borderId="16" xfId="0" applyFont="1" applyFill="1" applyBorder="1" applyAlignment="1" applyProtection="1" quotePrefix="1">
      <alignment horizontal="centerContinuous"/>
      <protection/>
    </xf>
    <xf numFmtId="188" fontId="25" fillId="6" borderId="14" xfId="0" applyFont="1" applyFill="1" applyBorder="1" applyAlignment="1" applyProtection="1">
      <alignment horizontal="centerContinuous"/>
      <protection/>
    </xf>
    <xf numFmtId="188" fontId="25" fillId="6" borderId="15" xfId="0" applyFont="1" applyFill="1" applyBorder="1" applyAlignment="1" applyProtection="1">
      <alignment horizontal="centerContinuous"/>
      <protection/>
    </xf>
    <xf numFmtId="188" fontId="25" fillId="6" borderId="46" xfId="0" applyFont="1" applyFill="1" applyBorder="1" applyAlignment="1" applyProtection="1">
      <alignment horizontal="centerContinuous"/>
      <protection/>
    </xf>
    <xf numFmtId="188" fontId="25" fillId="6" borderId="16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 quotePrefix="1">
      <alignment horizontal="left"/>
      <protection/>
    </xf>
    <xf numFmtId="188" fontId="10" fillId="2" borderId="0" xfId="0" applyFont="1" applyFill="1" applyBorder="1" applyAlignment="1" applyProtection="1">
      <alignment/>
      <protection/>
    </xf>
    <xf numFmtId="188" fontId="16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>
      <alignment horizontal="centerContinuous"/>
      <protection/>
    </xf>
    <xf numFmtId="188" fontId="27" fillId="7" borderId="56" xfId="0" applyFont="1" applyFill="1" applyBorder="1" applyAlignment="1" applyProtection="1">
      <alignment horizontal="left"/>
      <protection/>
    </xf>
    <xf numFmtId="188" fontId="26" fillId="7" borderId="57" xfId="0" applyFont="1" applyFill="1" applyBorder="1" applyAlignment="1" applyProtection="1">
      <alignment horizontal="centerContinuous"/>
      <protection/>
    </xf>
    <xf numFmtId="188" fontId="25" fillId="7" borderId="57" xfId="0" applyFont="1" applyFill="1" applyBorder="1" applyAlignment="1" applyProtection="1">
      <alignment horizontal="centerContinuous"/>
      <protection/>
    </xf>
    <xf numFmtId="188" fontId="25" fillId="7" borderId="51" xfId="0" applyFont="1" applyFill="1" applyBorder="1" applyAlignment="1" applyProtection="1">
      <alignment/>
      <protection/>
    </xf>
    <xf numFmtId="188" fontId="26" fillId="7" borderId="56" xfId="0" applyFont="1" applyFill="1" applyBorder="1" applyAlignment="1" applyProtection="1" quotePrefix="1">
      <alignment horizontal="centerContinuous"/>
      <protection/>
    </xf>
    <xf numFmtId="188" fontId="25" fillId="7" borderId="51" xfId="0" applyFont="1" applyFill="1" applyBorder="1" applyAlignment="1" applyProtection="1">
      <alignment horizontal="centerContinuous"/>
      <protection/>
    </xf>
    <xf numFmtId="188" fontId="25" fillId="8" borderId="46" xfId="0" applyFont="1" applyFill="1" applyBorder="1" applyAlignment="1" applyProtection="1">
      <alignment/>
      <protection/>
    </xf>
    <xf numFmtId="188" fontId="25" fillId="8" borderId="42" xfId="0" applyFont="1" applyFill="1" applyBorder="1" applyAlignment="1" applyProtection="1">
      <alignment/>
      <protection/>
    </xf>
    <xf numFmtId="188" fontId="25" fillId="8" borderId="43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>
      <alignment horizontal="center"/>
      <protection/>
    </xf>
    <xf numFmtId="188" fontId="28" fillId="8" borderId="0" xfId="0" applyFont="1" applyFill="1" applyBorder="1" applyAlignment="1" applyProtection="1">
      <alignment horizontal="centerContinuous"/>
      <protection/>
    </xf>
    <xf numFmtId="188" fontId="25" fillId="8" borderId="0" xfId="0" applyFont="1" applyFill="1" applyBorder="1" applyAlignment="1" applyProtection="1">
      <alignment horizontal="centerContinuous"/>
      <protection/>
    </xf>
    <xf numFmtId="188" fontId="25" fillId="8" borderId="44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 quotePrefix="1">
      <alignment horizontal="center"/>
      <protection/>
    </xf>
    <xf numFmtId="188" fontId="25" fillId="8" borderId="0" xfId="0" applyFont="1" applyFill="1" applyBorder="1" applyAlignment="1" applyProtection="1">
      <alignment horizontal="center"/>
      <protection/>
    </xf>
    <xf numFmtId="188" fontId="25" fillId="8" borderId="0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 horizontal="left"/>
      <protection/>
    </xf>
    <xf numFmtId="188" fontId="25" fillId="8" borderId="16" xfId="0" applyFont="1" applyFill="1" applyBorder="1" applyAlignment="1" applyProtection="1">
      <alignment horizontal="left"/>
      <protection/>
    </xf>
    <xf numFmtId="188" fontId="25" fillId="8" borderId="14" xfId="0" applyFont="1" applyFill="1" applyBorder="1" applyAlignment="1" applyProtection="1">
      <alignment horizontal="center"/>
      <protection/>
    </xf>
    <xf numFmtId="188" fontId="25" fillId="8" borderId="14" xfId="0" applyFont="1" applyFill="1" applyBorder="1" applyAlignment="1" applyProtection="1">
      <alignment/>
      <protection/>
    </xf>
    <xf numFmtId="188" fontId="25" fillId="8" borderId="15" xfId="0" applyFont="1" applyFill="1" applyBorder="1" applyAlignment="1" applyProtection="1">
      <alignment/>
      <protection/>
    </xf>
    <xf numFmtId="188" fontId="29" fillId="4" borderId="6" xfId="0" applyFont="1" applyFill="1" applyBorder="1" applyAlignment="1" applyProtection="1">
      <alignment horizontal="center"/>
      <protection/>
    </xf>
    <xf numFmtId="189" fontId="10" fillId="4" borderId="6" xfId="0" applyNumberFormat="1" applyFont="1" applyFill="1" applyBorder="1" applyAlignment="1" applyProtection="1">
      <alignment horizontal="centerContinuous"/>
      <protection/>
    </xf>
    <xf numFmtId="188" fontId="10" fillId="8" borderId="46" xfId="0" applyFont="1" applyFill="1" applyBorder="1" applyAlignment="1" applyProtection="1">
      <alignment/>
      <protection/>
    </xf>
    <xf numFmtId="188" fontId="10" fillId="8" borderId="42" xfId="0" applyFont="1" applyFill="1" applyBorder="1" applyAlignment="1" applyProtection="1">
      <alignment/>
      <protection/>
    </xf>
    <xf numFmtId="188" fontId="10" fillId="8" borderId="43" xfId="0" applyFont="1" applyFill="1" applyBorder="1" applyAlignment="1" applyProtection="1">
      <alignment/>
      <protection/>
    </xf>
    <xf numFmtId="188" fontId="10" fillId="8" borderId="40" xfId="0" applyFont="1" applyFill="1" applyBorder="1" applyAlignment="1" applyProtection="1">
      <alignment/>
      <protection/>
    </xf>
    <xf numFmtId="188" fontId="29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 horizontal="centerContinuous"/>
      <protection/>
    </xf>
    <xf numFmtId="188" fontId="10" fillId="8" borderId="44" xfId="0" applyFont="1" applyFill="1" applyBorder="1" applyAlignment="1" applyProtection="1">
      <alignment/>
      <protection/>
    </xf>
    <xf numFmtId="188" fontId="10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/>
      <protection/>
    </xf>
    <xf numFmtId="188" fontId="10" fillId="8" borderId="16" xfId="0" applyFont="1" applyFill="1" applyBorder="1" applyAlignment="1" applyProtection="1">
      <alignment/>
      <protection/>
    </xf>
    <xf numFmtId="188" fontId="10" fillId="8" borderId="14" xfId="0" applyFont="1" applyFill="1" applyBorder="1" applyAlignment="1" applyProtection="1">
      <alignment horizontal="center"/>
      <protection/>
    </xf>
    <xf numFmtId="188" fontId="10" fillId="8" borderId="14" xfId="0" applyFont="1" applyFill="1" applyBorder="1" applyAlignment="1" applyProtection="1">
      <alignment/>
      <protection/>
    </xf>
    <xf numFmtId="188" fontId="10" fillId="8" borderId="15" xfId="0" applyFont="1" applyFill="1" applyBorder="1" applyAlignment="1" applyProtection="1">
      <alignment/>
      <protection/>
    </xf>
    <xf numFmtId="188" fontId="10" fillId="8" borderId="46" xfId="0" applyFont="1" applyFill="1" applyBorder="1" applyAlignment="1" applyProtection="1">
      <alignment horizontal="center"/>
      <protection/>
    </xf>
    <xf numFmtId="188" fontId="10" fillId="8" borderId="42" xfId="0" applyFont="1" applyFill="1" applyBorder="1" applyAlignment="1" applyProtection="1">
      <alignment horizontal="center"/>
      <protection/>
    </xf>
    <xf numFmtId="188" fontId="10" fillId="8" borderId="43" xfId="0" applyFont="1" applyFill="1" applyBorder="1" applyAlignment="1" applyProtection="1">
      <alignment horizontal="center"/>
      <protection/>
    </xf>
    <xf numFmtId="188" fontId="10" fillId="8" borderId="40" xfId="0" applyFont="1" applyFill="1" applyBorder="1" applyAlignment="1" applyProtection="1">
      <alignment horizontal="center"/>
      <protection/>
    </xf>
    <xf numFmtId="188" fontId="10" fillId="8" borderId="44" xfId="0" applyFont="1" applyFill="1" applyBorder="1" applyAlignment="1" applyProtection="1">
      <alignment horizontal="center"/>
      <protection/>
    </xf>
    <xf numFmtId="188" fontId="10" fillId="8" borderId="16" xfId="0" applyFont="1" applyFill="1" applyBorder="1" applyAlignment="1" applyProtection="1">
      <alignment horizontal="center"/>
      <protection/>
    </xf>
    <xf numFmtId="189" fontId="10" fillId="8" borderId="14" xfId="0" applyNumberFormat="1" applyFont="1" applyFill="1" applyBorder="1" applyAlignment="1" applyProtection="1">
      <alignment horizontal="center"/>
      <protection/>
    </xf>
    <xf numFmtId="188" fontId="10" fillId="8" borderId="15" xfId="0" applyFont="1" applyFill="1" applyBorder="1" applyAlignment="1" applyProtection="1">
      <alignment horizontal="center"/>
      <protection/>
    </xf>
    <xf numFmtId="188" fontId="10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 quotePrefix="1">
      <alignment horizontal="center"/>
      <protection/>
    </xf>
    <xf numFmtId="188" fontId="14" fillId="0" borderId="59" xfId="0" applyFont="1" applyFill="1" applyBorder="1" applyAlignment="1" applyProtection="1">
      <alignment horizontal="centerContinuous" vertical="center"/>
      <protection/>
    </xf>
    <xf numFmtId="188" fontId="14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>
      <alignment horizontal="centerContinuous" vertical="center"/>
    </xf>
    <xf numFmtId="188" fontId="10" fillId="0" borderId="61" xfId="0" applyFont="1" applyFill="1" applyBorder="1" applyAlignment="1">
      <alignment horizontal="centerContinuous" vertical="center"/>
    </xf>
    <xf numFmtId="188" fontId="14" fillId="0" borderId="59" xfId="0" applyFont="1" applyFill="1" applyBorder="1" applyAlignment="1" applyProtection="1" quotePrefix="1">
      <alignment horizontal="centerContinuous" vertical="center"/>
      <protection/>
    </xf>
    <xf numFmtId="188" fontId="14" fillId="0" borderId="60" xfId="0" applyFont="1" applyFill="1" applyBorder="1" applyAlignment="1" applyProtection="1" quotePrefix="1">
      <alignment horizontal="centerContinuous" vertical="center"/>
      <protection/>
    </xf>
    <xf numFmtId="188" fontId="10" fillId="0" borderId="61" xfId="0" applyFont="1" applyFill="1" applyBorder="1" applyAlignment="1" applyProtection="1">
      <alignment horizontal="centerContinuous" vertical="center"/>
      <protection/>
    </xf>
    <xf numFmtId="188" fontId="1" fillId="2" borderId="24" xfId="0" applyFont="1" applyFill="1" applyBorder="1" applyAlignment="1" applyProtection="1">
      <alignment horizontal="center" vertical="center"/>
      <protection/>
    </xf>
    <xf numFmtId="188" fontId="1" fillId="2" borderId="9" xfId="0" applyFont="1" applyFill="1" applyBorder="1" applyAlignment="1" applyProtection="1">
      <alignment horizontal="center" vertical="center"/>
      <protection/>
    </xf>
    <xf numFmtId="188" fontId="1" fillId="2" borderId="11" xfId="0" applyFont="1" applyFill="1" applyBorder="1" applyAlignment="1" applyProtection="1">
      <alignment horizontal="right" vertical="center"/>
      <protection/>
    </xf>
    <xf numFmtId="188" fontId="1" fillId="2" borderId="25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right" vertical="center"/>
      <protection/>
    </xf>
    <xf numFmtId="188" fontId="10" fillId="2" borderId="0" xfId="0" applyFont="1" applyFill="1" applyBorder="1" applyAlignment="1">
      <alignment/>
    </xf>
    <xf numFmtId="188" fontId="28" fillId="8" borderId="6" xfId="0" applyFont="1" applyFill="1" applyBorder="1" applyAlignment="1" applyProtection="1" quotePrefix="1">
      <alignment horizontal="center"/>
      <protection/>
    </xf>
    <xf numFmtId="188" fontId="28" fillId="8" borderId="6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/>
      <protection/>
    </xf>
    <xf numFmtId="188" fontId="28" fillId="8" borderId="62" xfId="0" applyFont="1" applyFill="1" applyBorder="1" applyAlignment="1" applyProtection="1">
      <alignment horizontal="center"/>
      <protection/>
    </xf>
    <xf numFmtId="188" fontId="25" fillId="8" borderId="62" xfId="0" applyFont="1" applyFill="1" applyBorder="1" applyAlignment="1" applyProtection="1">
      <alignment/>
      <protection/>
    </xf>
    <xf numFmtId="188" fontId="25" fillId="8" borderId="6" xfId="0" applyFont="1" applyFill="1" applyBorder="1" applyAlignment="1" applyProtection="1">
      <alignment horizontal="center"/>
      <protection/>
    </xf>
    <xf numFmtId="189" fontId="25" fillId="8" borderId="6" xfId="0" applyNumberFormat="1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>
      <alignment/>
    </xf>
    <xf numFmtId="188" fontId="30" fillId="8" borderId="6" xfId="0" applyFont="1" applyFill="1" applyBorder="1" applyAlignment="1" applyProtection="1">
      <alignment horizontal="right"/>
      <protection/>
    </xf>
    <xf numFmtId="188" fontId="28" fillId="8" borderId="6" xfId="0" applyFont="1" applyFill="1" applyBorder="1" applyAlignment="1" applyProtection="1">
      <alignment horizontal="right"/>
      <protection/>
    </xf>
    <xf numFmtId="188" fontId="30" fillId="8" borderId="6" xfId="0" applyFont="1" applyFill="1" applyBorder="1" applyAlignment="1" applyProtection="1" quotePrefix="1">
      <alignment horizontal="right"/>
      <protection/>
    </xf>
    <xf numFmtId="188" fontId="28" fillId="8" borderId="6" xfId="0" applyFont="1" applyFill="1" applyBorder="1" applyAlignment="1" applyProtection="1" quotePrefix="1">
      <alignment horizontal="right"/>
      <protection/>
    </xf>
    <xf numFmtId="188" fontId="30" fillId="8" borderId="6" xfId="0" applyFont="1" applyFill="1" applyBorder="1" applyAlignment="1" applyProtection="1">
      <alignment horizontal="center"/>
      <protection/>
    </xf>
    <xf numFmtId="188" fontId="30" fillId="8" borderId="6" xfId="0" applyFont="1" applyFill="1" applyBorder="1" applyAlignment="1" applyProtection="1" quotePrefix="1">
      <alignment horizontal="center"/>
      <protection/>
    </xf>
    <xf numFmtId="188" fontId="28" fillId="8" borderId="42" xfId="0" applyFont="1" applyFill="1" applyBorder="1" applyAlignment="1" applyProtection="1">
      <alignment horizontal="centerContinuous"/>
      <protection/>
    </xf>
    <xf numFmtId="188" fontId="28" fillId="8" borderId="42" xfId="0" applyFont="1" applyFill="1" applyBorder="1" applyAlignment="1" applyProtection="1">
      <alignment horizontal="left"/>
      <protection/>
    </xf>
    <xf numFmtId="188" fontId="28" fillId="8" borderId="42" xfId="0" applyFont="1" applyFill="1" applyBorder="1" applyAlignment="1" applyProtection="1">
      <alignment horizontal="center"/>
      <protection/>
    </xf>
    <xf numFmtId="188" fontId="28" fillId="8" borderId="42" xfId="0" applyFont="1" applyFill="1" applyBorder="1" applyAlignment="1" applyProtection="1" quotePrefix="1">
      <alignment horizontal="right"/>
      <protection/>
    </xf>
    <xf numFmtId="188" fontId="28" fillId="8" borderId="43" xfId="0" applyFont="1" applyFill="1" applyBorder="1" applyAlignment="1" applyProtection="1">
      <alignment horizontal="center"/>
      <protection/>
    </xf>
    <xf numFmtId="188" fontId="28" fillId="8" borderId="40" xfId="0" applyFont="1" applyFill="1" applyBorder="1" applyAlignment="1" applyProtection="1">
      <alignment horizontal="centerContinuous"/>
      <protection/>
    </xf>
    <xf numFmtId="188" fontId="28" fillId="8" borderId="56" xfId="0" applyFont="1" applyFill="1" applyBorder="1" applyAlignment="1" applyProtection="1">
      <alignment horizontal="centerContinuous"/>
      <protection/>
    </xf>
    <xf numFmtId="188" fontId="25" fillId="8" borderId="51" xfId="0" applyFont="1" applyFill="1" applyBorder="1" applyAlignment="1" applyProtection="1">
      <alignment horizontal="centerContinuous"/>
      <protection/>
    </xf>
    <xf numFmtId="188" fontId="25" fillId="8" borderId="0" xfId="0" applyFont="1" applyFill="1" applyAlignment="1">
      <alignment/>
    </xf>
    <xf numFmtId="189" fontId="11" fillId="4" borderId="6" xfId="0" applyNumberFormat="1" applyFont="1" applyFill="1" applyBorder="1" applyAlignment="1" applyProtection="1">
      <alignment horizontal="center"/>
      <protection locked="0"/>
    </xf>
    <xf numFmtId="188" fontId="25" fillId="8" borderId="51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/>
    </xf>
    <xf numFmtId="188" fontId="25" fillId="8" borderId="43" xfId="0" applyFont="1" applyFill="1" applyBorder="1" applyAlignment="1">
      <alignment/>
    </xf>
    <xf numFmtId="188" fontId="28" fillId="8" borderId="40" xfId="0" applyFont="1" applyFill="1" applyBorder="1" applyAlignment="1" applyProtection="1">
      <alignment horizontal="center"/>
      <protection/>
    </xf>
    <xf numFmtId="188" fontId="28" fillId="8" borderId="6" xfId="0" applyFont="1" applyFill="1" applyBorder="1" applyAlignment="1" applyProtection="1">
      <alignment horizontal="centerContinuous"/>
      <protection/>
    </xf>
    <xf numFmtId="188" fontId="25" fillId="8" borderId="6" xfId="0" applyFont="1" applyFill="1" applyBorder="1" applyAlignment="1">
      <alignment horizontal="centerContinuous"/>
    </xf>
    <xf numFmtId="188" fontId="31" fillId="8" borderId="6" xfId="0" applyFont="1" applyFill="1" applyBorder="1" applyAlignment="1" applyProtection="1">
      <alignment horizontal="center"/>
      <protection/>
    </xf>
    <xf numFmtId="188" fontId="31" fillId="8" borderId="6" xfId="0" applyFont="1" applyFill="1" applyBorder="1" applyAlignment="1" applyProtection="1">
      <alignment horizontal="centerContinuous"/>
      <protection/>
    </xf>
    <xf numFmtId="188" fontId="31" fillId="8" borderId="46" xfId="0" applyFont="1" applyFill="1" applyBorder="1" applyAlignment="1" applyProtection="1">
      <alignment horizontal="center"/>
      <protection/>
    </xf>
    <xf numFmtId="188" fontId="31" fillId="8" borderId="46" xfId="0" applyFont="1" applyFill="1" applyBorder="1" applyAlignment="1" applyProtection="1">
      <alignment horizontal="centerContinuous"/>
      <protection/>
    </xf>
    <xf numFmtId="188" fontId="31" fillId="8" borderId="6" xfId="0" applyFont="1" applyFill="1" applyBorder="1" applyAlignment="1" applyProtection="1">
      <alignment/>
      <protection/>
    </xf>
    <xf numFmtId="188" fontId="4" fillId="2" borderId="63" xfId="0" applyFont="1" applyFill="1" applyBorder="1" applyAlignment="1" applyProtection="1">
      <alignment horizontal="center"/>
      <protection/>
    </xf>
    <xf numFmtId="188" fontId="4" fillId="2" borderId="64" xfId="0" applyFont="1" applyFill="1" applyBorder="1" applyAlignment="1" applyProtection="1">
      <alignment horizontal="center"/>
      <protection/>
    </xf>
    <xf numFmtId="188" fontId="4" fillId="2" borderId="65" xfId="0" applyFont="1" applyFill="1" applyBorder="1" applyAlignment="1" applyProtection="1">
      <alignment horizontal="center" vertical="center"/>
      <protection/>
    </xf>
    <xf numFmtId="188" fontId="4" fillId="2" borderId="39" xfId="0" applyFont="1" applyFill="1" applyBorder="1" applyAlignment="1" applyProtection="1" quotePrefix="1">
      <alignment horizontal="center" vertical="center"/>
      <protection/>
    </xf>
    <xf numFmtId="188" fontId="4" fillId="2" borderId="39" xfId="0" applyFont="1" applyFill="1" applyBorder="1" applyAlignment="1" applyProtection="1">
      <alignment horizontal="center" vertical="center"/>
      <protection/>
    </xf>
    <xf numFmtId="188" fontId="4" fillId="0" borderId="40" xfId="0" applyFont="1" applyFill="1" applyBorder="1" applyAlignment="1" applyProtection="1">
      <alignment horizontal="center"/>
      <protection locked="0"/>
    </xf>
    <xf numFmtId="188" fontId="11" fillId="0" borderId="40" xfId="0" applyFont="1" applyFill="1" applyBorder="1" applyAlignment="1" applyProtection="1">
      <alignment horizontal="center"/>
      <protection locked="0"/>
    </xf>
    <xf numFmtId="188" fontId="4" fillId="2" borderId="29" xfId="0" applyFont="1" applyFill="1" applyBorder="1" applyAlignment="1" applyProtection="1">
      <alignment horizontal="center"/>
      <protection/>
    </xf>
    <xf numFmtId="188" fontId="32" fillId="2" borderId="13" xfId="0" applyFont="1" applyFill="1" applyBorder="1" applyAlignment="1" applyProtection="1">
      <alignment horizontal="center"/>
      <protection/>
    </xf>
    <xf numFmtId="188" fontId="33" fillId="2" borderId="15" xfId="0" applyFont="1" applyFill="1" applyBorder="1" applyAlignment="1" applyProtection="1">
      <alignment horizontal="center"/>
      <protection/>
    </xf>
    <xf numFmtId="188" fontId="33" fillId="2" borderId="14" xfId="0" applyFont="1" applyFill="1" applyBorder="1" applyAlignment="1" applyProtection="1">
      <alignment horizontal="centerContinuous"/>
      <protection/>
    </xf>
    <xf numFmtId="188" fontId="33" fillId="2" borderId="15" xfId="0" applyFont="1" applyFill="1" applyBorder="1" applyAlignment="1" applyProtection="1">
      <alignment horizontal="centerContinuous"/>
      <protection/>
    </xf>
    <xf numFmtId="188" fontId="33" fillId="2" borderId="14" xfId="0" applyFont="1" applyFill="1" applyBorder="1" applyAlignment="1" applyProtection="1">
      <alignment horizontal="center"/>
      <protection/>
    </xf>
    <xf numFmtId="188" fontId="33" fillId="2" borderId="33" xfId="0" applyFont="1" applyFill="1" applyBorder="1" applyAlignment="1" applyProtection="1">
      <alignment horizontal="center"/>
      <protection/>
    </xf>
    <xf numFmtId="188" fontId="32" fillId="2" borderId="18" xfId="0" applyFont="1" applyFill="1" applyBorder="1" applyAlignment="1" applyProtection="1">
      <alignment horizontal="center"/>
      <protection/>
    </xf>
    <xf numFmtId="188" fontId="33" fillId="2" borderId="20" xfId="0" applyFont="1" applyFill="1" applyBorder="1" applyAlignment="1" applyProtection="1">
      <alignment horizontal="center"/>
      <protection/>
    </xf>
    <xf numFmtId="188" fontId="33" fillId="2" borderId="19" xfId="0" applyFont="1" applyFill="1" applyBorder="1" applyAlignment="1" applyProtection="1">
      <alignment horizontal="centerContinuous"/>
      <protection/>
    </xf>
    <xf numFmtId="188" fontId="33" fillId="2" borderId="20" xfId="0" applyFont="1" applyFill="1" applyBorder="1" applyAlignment="1" applyProtection="1">
      <alignment horizontal="centerContinuous"/>
      <protection/>
    </xf>
    <xf numFmtId="188" fontId="33" fillId="2" borderId="19" xfId="0" applyFont="1" applyFill="1" applyBorder="1" applyAlignment="1" applyProtection="1">
      <alignment horizontal="center"/>
      <protection/>
    </xf>
    <xf numFmtId="188" fontId="33" fillId="2" borderId="8" xfId="0" applyFont="1" applyFill="1" applyBorder="1" applyAlignment="1" applyProtection="1">
      <alignment horizontal="center"/>
      <protection/>
    </xf>
    <xf numFmtId="188" fontId="32" fillId="2" borderId="26" xfId="0" applyFont="1" applyFill="1" applyBorder="1" applyAlignment="1" applyProtection="1" quotePrefix="1">
      <alignment horizontal="center"/>
      <protection/>
    </xf>
    <xf numFmtId="3" fontId="11" fillId="0" borderId="6" xfId="18" applyNumberFormat="1" applyFont="1" applyFill="1" applyBorder="1" applyAlignment="1" applyProtection="1" quotePrefix="1">
      <alignment horizontal="center" vertical="center"/>
      <protection/>
    </xf>
    <xf numFmtId="188" fontId="11" fillId="0" borderId="6" xfId="0" applyFont="1" applyBorder="1" applyAlignment="1">
      <alignment horizontal="center"/>
    </xf>
    <xf numFmtId="188" fontId="27" fillId="7" borderId="56" xfId="0" applyFont="1" applyFill="1" applyBorder="1" applyAlignment="1" applyProtection="1">
      <alignment horizontal="centerContinuous"/>
      <protection/>
    </xf>
    <xf numFmtId="188" fontId="27" fillId="7" borderId="51" xfId="0" applyFont="1" applyFill="1" applyBorder="1" applyAlignment="1" applyProtection="1">
      <alignment horizontal="centerContinuous"/>
      <protection/>
    </xf>
    <xf numFmtId="188" fontId="4" fillId="9" borderId="0" xfId="0" applyFont="1" applyFill="1" applyAlignment="1" applyProtection="1">
      <alignment/>
      <protection/>
    </xf>
    <xf numFmtId="188" fontId="0" fillId="9" borderId="0" xfId="0" applyFill="1" applyAlignment="1" applyProtection="1">
      <alignment/>
      <protection/>
    </xf>
    <xf numFmtId="188" fontId="0" fillId="9" borderId="0" xfId="0" applyFill="1" applyAlignment="1">
      <alignment/>
    </xf>
    <xf numFmtId="188" fontId="0" fillId="9" borderId="0" xfId="0" applyFont="1" applyFill="1" applyAlignment="1" applyProtection="1">
      <alignment/>
      <protection/>
    </xf>
    <xf numFmtId="188" fontId="0" fillId="5" borderId="38" xfId="0" applyFill="1" applyBorder="1" applyAlignment="1">
      <alignment horizontal="centerContinuous"/>
    </xf>
    <xf numFmtId="188" fontId="4" fillId="5" borderId="66" xfId="0" applyFont="1" applyFill="1" applyBorder="1" applyAlignment="1" applyProtection="1">
      <alignment horizontal="centerContinuous" vertical="center" wrapText="1"/>
      <protection/>
    </xf>
    <xf numFmtId="188" fontId="0" fillId="5" borderId="67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left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0" xfId="0" applyFont="1" applyFill="1" applyBorder="1" applyAlignment="1" applyProtection="1">
      <alignment horizontal="center" vertical="center" wrapText="1"/>
      <protection/>
    </xf>
    <xf numFmtId="188" fontId="0" fillId="5" borderId="0" xfId="0" applyFill="1" applyBorder="1" applyAlignment="1">
      <alignment/>
    </xf>
    <xf numFmtId="188" fontId="0" fillId="5" borderId="68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center"/>
      <protection/>
    </xf>
    <xf numFmtId="188" fontId="1" fillId="5" borderId="0" xfId="0" applyFont="1" applyFill="1" applyBorder="1" applyAlignment="1">
      <alignment horizontal="center"/>
    </xf>
    <xf numFmtId="188" fontId="1" fillId="5" borderId="0" xfId="0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>
      <alignment horizontal="center"/>
      <protection/>
    </xf>
    <xf numFmtId="189" fontId="4" fillId="5" borderId="6" xfId="0" applyNumberFormat="1" applyFont="1" applyFill="1" applyBorder="1" applyAlignment="1" applyProtection="1">
      <alignment horizontal="center"/>
      <protection/>
    </xf>
    <xf numFmtId="188" fontId="0" fillId="5" borderId="69" xfId="0" applyFill="1" applyBorder="1" applyAlignment="1">
      <alignment/>
    </xf>
    <xf numFmtId="188" fontId="4" fillId="5" borderId="45" xfId="0" applyFont="1" applyFill="1" applyBorder="1" applyAlignment="1" applyProtection="1">
      <alignment/>
      <protection/>
    </xf>
    <xf numFmtId="188" fontId="0" fillId="5" borderId="45" xfId="0" applyFill="1" applyBorder="1" applyAlignment="1">
      <alignment/>
    </xf>
    <xf numFmtId="188" fontId="0" fillId="5" borderId="70" xfId="0" applyFill="1" applyBorder="1" applyAlignment="1">
      <alignment/>
    </xf>
    <xf numFmtId="188" fontId="13" fillId="5" borderId="50" xfId="0" applyFont="1" applyFill="1" applyBorder="1" applyAlignment="1" applyProtection="1">
      <alignment horizontal="centerContinuous" vertical="top" wrapText="1"/>
      <protection/>
    </xf>
    <xf numFmtId="188" fontId="13" fillId="5" borderId="38" xfId="0" applyFont="1" applyFill="1" applyBorder="1" applyAlignment="1" applyProtection="1">
      <alignment horizontal="centerContinuous" vertical="top" wrapText="1"/>
      <protection/>
    </xf>
    <xf numFmtId="188" fontId="0" fillId="5" borderId="66" xfId="0" applyFill="1" applyBorder="1" applyAlignment="1">
      <alignment horizontal="centerContinuous"/>
    </xf>
    <xf numFmtId="188" fontId="13" fillId="5" borderId="67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center" wrapText="1"/>
      <protection/>
    </xf>
    <xf numFmtId="188" fontId="4" fillId="5" borderId="0" xfId="0" applyFont="1" applyFill="1" applyBorder="1" applyAlignment="1" applyProtection="1">
      <alignment horizontal="centerContinuous" vertical="center" wrapText="1"/>
      <protection/>
    </xf>
    <xf numFmtId="188" fontId="0" fillId="5" borderId="0" xfId="0" applyFill="1" applyBorder="1" applyAlignment="1">
      <alignment horizontal="centerContinuous"/>
    </xf>
    <xf numFmtId="188" fontId="0" fillId="5" borderId="0" xfId="0" applyFill="1" applyBorder="1" applyAlignment="1">
      <alignment/>
    </xf>
    <xf numFmtId="188" fontId="1" fillId="5" borderId="0" xfId="0" applyFont="1" applyFill="1" applyBorder="1" applyAlignment="1" applyProtection="1">
      <alignment horizontal="centerContinuous"/>
      <protection/>
    </xf>
    <xf numFmtId="188" fontId="19" fillId="5" borderId="0" xfId="0" applyFont="1" applyFill="1" applyBorder="1" applyAlignment="1" applyProtection="1">
      <alignment horizontal="center" wrapText="1"/>
      <protection/>
    </xf>
    <xf numFmtId="188" fontId="1" fillId="5" borderId="0" xfId="0" applyFont="1" applyFill="1" applyBorder="1" applyAlignment="1" applyProtection="1">
      <alignment horizontal="centerContinuous" wrapText="1"/>
      <protection/>
    </xf>
    <xf numFmtId="188" fontId="10" fillId="5" borderId="6" xfId="0" applyFont="1" applyFill="1" applyBorder="1" applyAlignment="1" applyProtection="1">
      <alignment horizontal="centerContinuous"/>
      <protection/>
    </xf>
    <xf numFmtId="188" fontId="0" fillId="5" borderId="6" xfId="0" applyFill="1" applyBorder="1" applyAlignment="1">
      <alignment horizontal="centerContinuous"/>
    </xf>
    <xf numFmtId="189" fontId="10" fillId="5" borderId="6" xfId="0" applyNumberFormat="1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 quotePrefix="1">
      <alignment horizontal="centerContinuous"/>
      <protection/>
    </xf>
    <xf numFmtId="188" fontId="4" fillId="5" borderId="6" xfId="0" applyFont="1" applyFill="1" applyBorder="1" applyAlignment="1" applyProtection="1">
      <alignment horizontal="centerContinuous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69" xfId="0" applyFont="1" applyFill="1" applyBorder="1" applyAlignment="1" applyProtection="1">
      <alignment horizontal="centerContinuous"/>
      <protection/>
    </xf>
    <xf numFmtId="188" fontId="4" fillId="5" borderId="45" xfId="0" applyFont="1" applyFill="1" applyBorder="1" applyAlignment="1" applyProtection="1">
      <alignment horizontal="center"/>
      <protection/>
    </xf>
    <xf numFmtId="188" fontId="11" fillId="5" borderId="45" xfId="0" applyFont="1" applyFill="1" applyBorder="1" applyAlignment="1" applyProtection="1">
      <alignment horizontal="centerContinuous"/>
      <protection/>
    </xf>
    <xf numFmtId="188" fontId="0" fillId="5" borderId="45" xfId="0" applyFill="1" applyBorder="1" applyAlignment="1">
      <alignment horizontal="centerContinuous"/>
    </xf>
    <xf numFmtId="188" fontId="4" fillId="5" borderId="45" xfId="0" applyFont="1" applyFill="1" applyBorder="1" applyAlignment="1" applyProtection="1">
      <alignment horizontal="centerContinuous"/>
      <protection/>
    </xf>
    <xf numFmtId="188" fontId="4" fillId="3" borderId="50" xfId="0" applyFont="1" applyFill="1" applyBorder="1" applyAlignment="1">
      <alignment/>
    </xf>
    <xf numFmtId="188" fontId="4" fillId="3" borderId="38" xfId="0" applyFont="1" applyFill="1" applyBorder="1" applyAlignment="1">
      <alignment/>
    </xf>
    <xf numFmtId="188" fontId="4" fillId="3" borderId="66" xfId="0" applyFont="1" applyFill="1" applyBorder="1" applyAlignment="1">
      <alignment/>
    </xf>
    <xf numFmtId="188" fontId="4" fillId="3" borderId="67" xfId="0" applyFont="1" applyFill="1" applyBorder="1" applyAlignment="1">
      <alignment/>
    </xf>
    <xf numFmtId="188" fontId="4" fillId="3" borderId="0" xfId="0" applyFont="1" applyFill="1" applyBorder="1" applyAlignment="1">
      <alignment/>
    </xf>
    <xf numFmtId="188" fontId="4" fillId="3" borderId="68" xfId="0" applyFont="1" applyFill="1" applyBorder="1" applyAlignment="1">
      <alignment/>
    </xf>
    <xf numFmtId="188" fontId="33" fillId="3" borderId="67" xfId="0" applyFont="1" applyFill="1" applyBorder="1" applyAlignment="1">
      <alignment horizontal="right"/>
    </xf>
    <xf numFmtId="188" fontId="4" fillId="3" borderId="45" xfId="0" applyFont="1" applyFill="1" applyBorder="1" applyAlignment="1">
      <alignment/>
    </xf>
    <xf numFmtId="188" fontId="4" fillId="3" borderId="70" xfId="0" applyFont="1" applyFill="1" applyBorder="1" applyAlignment="1">
      <alignment/>
    </xf>
    <xf numFmtId="188" fontId="4" fillId="3" borderId="69" xfId="0" applyFont="1" applyFill="1" applyBorder="1" applyAlignment="1">
      <alignment/>
    </xf>
    <xf numFmtId="188" fontId="25" fillId="8" borderId="6" xfId="0" applyFont="1" applyFill="1" applyBorder="1" applyAlignment="1" applyProtection="1">
      <alignment horizontal="center"/>
      <protection/>
    </xf>
    <xf numFmtId="188" fontId="25" fillId="8" borderId="42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175"/>
          <c:w val="0.966"/>
          <c:h val="0.80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LIVROB'!$B$5:$M$5</c:f>
              <c:strCache/>
            </c:strRef>
          </c:cat>
          <c:val>
            <c:numRef>
              <c:f>'Poliof40 - LIVROB'!$B$7:$M$7</c:f>
              <c:numCache/>
            </c:numRef>
          </c:val>
        </c:ser>
        <c:axId val="20087968"/>
        <c:axId val="46573985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LIVROB'!$B$6:$M$6</c:f>
              <c:numCache/>
            </c:numRef>
          </c:val>
          <c:smooth val="0"/>
        </c:ser>
        <c:axId val="20087968"/>
        <c:axId val="46573985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LIVROB'!$B$8:$M$8</c:f>
              <c:numCache/>
            </c:numRef>
          </c:val>
          <c:smooth val="0"/>
        </c:ser>
        <c:axId val="16512682"/>
        <c:axId val="14396411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3985"/>
        <c:crosses val="autoZero"/>
        <c:auto val="0"/>
        <c:lblOffset val="100"/>
        <c:noMultiLvlLbl val="0"/>
      </c:catAx>
      <c:valAx>
        <c:axId val="46573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87968"/>
        <c:crossesAt val="1"/>
        <c:crossBetween val="between"/>
        <c:dispUnits/>
      </c:valAx>
      <c:catAx>
        <c:axId val="16512682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6411"/>
        <c:crosses val="autoZero"/>
        <c:auto val="0"/>
        <c:lblOffset val="100"/>
        <c:noMultiLvlLbl val="0"/>
      </c:catAx>
      <c:valAx>
        <c:axId val="14396411"/>
        <c:scaling>
          <c:orientation val="minMax"/>
        </c:scaling>
        <c:axPos val="l"/>
        <c:delete val="1"/>
        <c:majorTickMark val="out"/>
        <c:minorTickMark val="none"/>
        <c:tickLblPos val="nextTo"/>
        <c:crossAx val="165126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89575"/>
          <c:w val="0.6025"/>
          <c:h val="0.0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LIVROB'!$B$374:$M$374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LIVROB'!$B$375:$M$375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458836"/>
        <c:axId val="25258613"/>
      </c:bar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58613"/>
        <c:crossesAt val="0"/>
        <c:auto val="1"/>
        <c:lblOffset val="100"/>
        <c:noMultiLvlLbl val="0"/>
      </c:catAx>
      <c:valAx>
        <c:axId val="25258613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58836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LIVROB'!$B$376:$M$376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LIVROB'!$B$377:$M$377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81743"/>
        <c:crossesAt val="0"/>
        <c:auto val="1"/>
        <c:lblOffset val="100"/>
        <c:noMultiLvlLbl val="0"/>
      </c:catAx>
      <c:valAx>
        <c:axId val="32681743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000926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INP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LIVROB'!$B$378:$M$378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LIVROB'!$B$379:$M$379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700232"/>
        <c:axId val="29975497"/>
      </c:bar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75497"/>
        <c:crossesAt val="0"/>
        <c:auto val="1"/>
        <c:lblOffset val="100"/>
        <c:noMultiLvlLbl val="0"/>
      </c:catAx>
      <c:valAx>
        <c:axId val="29975497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00232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LIVROB'!$B$380:$M$380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LIVROB'!$B$381:$M$381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344018"/>
        <c:axId val="12096163"/>
      </c:barChart>
      <c:cat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096163"/>
        <c:crossesAt val="0"/>
        <c:auto val="1"/>
        <c:lblOffset val="100"/>
        <c:noMultiLvlLbl val="0"/>
      </c:catAx>
      <c:valAx>
        <c:axId val="12096163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4018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Fabricação PCB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LIVROB'!$B$382:$M$382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LIVROB'!$B$383:$M$383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756604"/>
        <c:axId val="40265117"/>
      </c:bar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265117"/>
        <c:crossesAt val="0"/>
        <c:auto val="1"/>
        <c:lblOffset val="100"/>
        <c:noMultiLvlLbl val="0"/>
      </c:catAx>
      <c:valAx>
        <c:axId val="40265117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56604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>
      <xdr:nvGraphicFramePr>
        <xdr:cNvPr id="1" name="Chart 10"/>
        <xdr:cNvGraphicFramePr/>
      </xdr:nvGraphicFramePr>
      <xdr:xfrm>
        <a:off x="314325" y="2314575"/>
        <a:ext cx="5638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>
      <xdr:nvGraphicFramePr>
        <xdr:cNvPr id="2" name="Chart 70"/>
        <xdr:cNvGraphicFramePr/>
      </xdr:nvGraphicFramePr>
      <xdr:xfrm>
        <a:off x="847725" y="5314950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>
      <xdr:nvGraphicFramePr>
        <xdr:cNvPr id="3" name="Chart 71"/>
        <xdr:cNvGraphicFramePr/>
      </xdr:nvGraphicFramePr>
      <xdr:xfrm>
        <a:off x="876300" y="57140475"/>
        <a:ext cx="7410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>
      <xdr:nvGraphicFramePr>
        <xdr:cNvPr id="4" name="Chart 72"/>
        <xdr:cNvGraphicFramePr/>
      </xdr:nvGraphicFramePr>
      <xdr:xfrm>
        <a:off x="876300" y="61131450"/>
        <a:ext cx="7410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>
      <xdr:nvGraphicFramePr>
        <xdr:cNvPr id="5" name="Chart 73"/>
        <xdr:cNvGraphicFramePr/>
      </xdr:nvGraphicFramePr>
      <xdr:xfrm>
        <a:off x="876300" y="65122425"/>
        <a:ext cx="74104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>
      <xdr:nvGraphicFramePr>
        <xdr:cNvPr id="6" name="Chart 74"/>
        <xdr:cNvGraphicFramePr/>
      </xdr:nvGraphicFramePr>
      <xdr:xfrm>
        <a:off x="876300" y="69113400"/>
        <a:ext cx="74104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050"/>
  <sheetViews>
    <sheetView showGridLines="0" showRowColHeaders="0" showZeros="0" tabSelected="1" zoomScale="80" zoomScaleNormal="80" workbookViewId="0" topLeftCell="A1">
      <selection activeCell="A1" sqref="A1"/>
    </sheetView>
  </sheetViews>
  <sheetFormatPr defaultColWidth="9.625" defaultRowHeight="12.75" zeroHeight="1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 customWidth="1"/>
  </cols>
  <sheetData>
    <row r="1" spans="1:28" s="104" customFormat="1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16" ht="6" customHeight="1" thickBot="1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3:28" ht="12" customHeight="1">
      <c r="C4" s="17"/>
      <c r="D4" s="17"/>
      <c r="E4" s="17"/>
      <c r="F4" s="17"/>
      <c r="G4" s="17"/>
      <c r="N4" s="16" t="s">
        <v>0</v>
      </c>
      <c r="AB4" s="184"/>
    </row>
    <row r="5" spans="1:13" ht="12.75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13" ht="12.75">
      <c r="A6" s="329" t="s">
        <v>14</v>
      </c>
      <c r="B6" s="34">
        <v>248</v>
      </c>
      <c r="C6" s="34">
        <v>260</v>
      </c>
      <c r="D6" s="34">
        <v>280</v>
      </c>
      <c r="E6" s="34">
        <v>270</v>
      </c>
      <c r="F6" s="34">
        <v>290</v>
      </c>
      <c r="G6" s="34">
        <v>270</v>
      </c>
      <c r="H6" s="34">
        <v>290</v>
      </c>
      <c r="I6" s="34">
        <v>270</v>
      </c>
      <c r="J6" s="34">
        <v>290</v>
      </c>
      <c r="K6" s="34">
        <v>260</v>
      </c>
      <c r="L6" s="34">
        <v>300</v>
      </c>
      <c r="M6" s="34">
        <v>270</v>
      </c>
    </row>
    <row r="7" spans="1:13" ht="12.75">
      <c r="A7" s="330" t="s">
        <v>15</v>
      </c>
      <c r="B7" s="331">
        <f>B14+B8-B6</f>
        <v>129</v>
      </c>
      <c r="C7" s="331">
        <f aca="true" t="shared" si="0" ref="C7:M7">B7+C8-C6</f>
        <v>119</v>
      </c>
      <c r="D7" s="331">
        <f t="shared" si="0"/>
        <v>89</v>
      </c>
      <c r="E7" s="331">
        <f t="shared" si="0"/>
        <v>99</v>
      </c>
      <c r="F7" s="331">
        <f t="shared" si="0"/>
        <v>89</v>
      </c>
      <c r="G7" s="331">
        <f t="shared" si="0"/>
        <v>99</v>
      </c>
      <c r="H7" s="331">
        <f t="shared" si="0"/>
        <v>89</v>
      </c>
      <c r="I7" s="331">
        <f t="shared" si="0"/>
        <v>99</v>
      </c>
      <c r="J7" s="331">
        <f t="shared" si="0"/>
        <v>89</v>
      </c>
      <c r="K7" s="331">
        <f t="shared" si="0"/>
        <v>109</v>
      </c>
      <c r="L7" s="331">
        <f t="shared" si="0"/>
        <v>89</v>
      </c>
      <c r="M7" s="331">
        <f t="shared" si="0"/>
        <v>99</v>
      </c>
    </row>
    <row r="8" spans="1:13" ht="12.75">
      <c r="A8" s="330" t="s">
        <v>16</v>
      </c>
      <c r="B8" s="34">
        <v>220</v>
      </c>
      <c r="C8" s="34">
        <v>250</v>
      </c>
      <c r="D8" s="34">
        <v>250</v>
      </c>
      <c r="E8" s="34">
        <v>280</v>
      </c>
      <c r="F8" s="34">
        <v>280</v>
      </c>
      <c r="G8" s="34">
        <v>280</v>
      </c>
      <c r="H8" s="34">
        <v>280</v>
      </c>
      <c r="I8" s="34">
        <v>280</v>
      </c>
      <c r="J8" s="34">
        <v>280</v>
      </c>
      <c r="K8" s="34">
        <v>280</v>
      </c>
      <c r="L8" s="34">
        <v>280</v>
      </c>
      <c r="M8" s="34">
        <v>280</v>
      </c>
    </row>
    <row r="9" spans="1:14" ht="12.75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14" ht="12.75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14" ht="5.25" customHeight="1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5" ht="12.75">
      <c r="A12" s="332" t="s">
        <v>18</v>
      </c>
      <c r="B12" s="333">
        <f>F83+F90+F97+F104+F111</f>
        <v>130</v>
      </c>
      <c r="C12" s="333">
        <f>J83+J90+J97+J104+J111</f>
        <v>142</v>
      </c>
      <c r="D12" s="333">
        <f>N83+N90+N97+N104+N111</f>
        <v>154</v>
      </c>
      <c r="E12" s="16" t="s">
        <v>0</v>
      </c>
    </row>
    <row r="13" spans="1:4" ht="12.75">
      <c r="A13" s="332" t="s">
        <v>19</v>
      </c>
      <c r="B13" s="333">
        <f>SUM(C84:F84)+SUM(C91:F91)+SUM(C98:F98)+SUM(C105:F105)+SUM(C112:F112)</f>
        <v>220</v>
      </c>
      <c r="C13" s="333">
        <f>SUM(G84:J84)+SUM(G91:J91)+SUM(G98:J98)+SUM(G105:J105)+SUM(G112:J112)</f>
        <v>270</v>
      </c>
      <c r="D13" s="333">
        <f>SUM(K84:N84)+SUM(K91:N91)+SUM(K98:N98)+SUM(K105:N105)+SUM(K112:N112)</f>
        <v>293</v>
      </c>
    </row>
    <row r="14" spans="1:4" ht="12.75">
      <c r="A14" s="330" t="s">
        <v>20</v>
      </c>
      <c r="B14" s="331">
        <f>D80+D87+D94+D101+D108</f>
        <v>157</v>
      </c>
      <c r="C14" s="328"/>
      <c r="D14" s="328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3" ht="20.25" hidden="1">
      <c r="A30" s="163"/>
      <c r="B30" s="163" t="s">
        <v>21</v>
      </c>
      <c r="C30" s="118"/>
    </row>
    <row r="31" spans="3:7" ht="11.25" customHeight="1" hidden="1">
      <c r="C31" s="17"/>
      <c r="D31" s="17"/>
      <c r="E31" s="17"/>
      <c r="F31" s="17"/>
      <c r="G31" s="18"/>
    </row>
    <row r="32" spans="1:13" ht="12.75" hidden="1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3" ht="12.75" hidden="1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 hidden="1">
      <c r="A34" s="330" t="s">
        <v>15</v>
      </c>
      <c r="B34" s="331">
        <f>B41+B35-B33</f>
        <v>0</v>
      </c>
      <c r="C34" s="331">
        <f aca="true" t="shared" si="1" ref="C34:M34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3" ht="12.75" hidden="1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hidden="1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3" ht="12.75" hidden="1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3" ht="5.25" customHeight="1" hidden="1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4" ht="12.75" hidden="1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4" ht="12.75" hidden="1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4" ht="12.75" hidden="1">
      <c r="A41" s="330" t="s">
        <v>20</v>
      </c>
      <c r="B41" s="331">
        <f>D115+D122</f>
        <v>0</v>
      </c>
      <c r="C41" s="111"/>
      <c r="D41" s="111"/>
    </row>
    <row r="42" ht="12.75" hidden="1"/>
    <row r="43" spans="1:3" ht="20.25">
      <c r="A43" s="112"/>
      <c r="B43" s="163" t="s">
        <v>22</v>
      </c>
      <c r="C43" s="118"/>
    </row>
    <row r="44" spans="1:14" ht="11.25" customHeight="1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ht="12.75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ht="12.75">
      <c r="A46" s="329" t="s">
        <v>14</v>
      </c>
      <c r="B46" s="331">
        <f>('Poliof40 - LIVROB'!$E$73*B6+'Poliof40 - LIVROB'!$J$70*B33)/1000</f>
        <v>131.83432000000002</v>
      </c>
      <c r="C46" s="331">
        <f>('Poliof40 - LIVROB'!$E$73*C6+'Poliof40 - LIVROB'!$J$70*C33)/1000</f>
        <v>138.2134</v>
      </c>
      <c r="D46" s="331">
        <f>('Poliof40 - LIVROB'!$E$73*D6+'Poliof40 - LIVROB'!$J$70*D33)/1000</f>
        <v>148.8452</v>
      </c>
      <c r="E46" s="331">
        <f>('Poliof40 - LIVROB'!$E$73*E6+'Poliof40 - LIVROB'!$J$70*E33)/1000</f>
        <v>143.5293</v>
      </c>
      <c r="F46" s="331">
        <f>('Poliof40 - LIVROB'!$E$73*F6+'Poliof40 - LIVROB'!$J$70*F33)/1000</f>
        <v>154.1611</v>
      </c>
      <c r="G46" s="331">
        <f>('Poliof40 - LIVROB'!$E$73*G6+'Poliof40 - LIVROB'!$J$70*G33)/1000</f>
        <v>143.5293</v>
      </c>
      <c r="H46" s="331">
        <f>('Poliof40 - LIVROB'!$E$73*H6+'Poliof40 - LIVROB'!$J$70*H33)/1000</f>
        <v>154.1611</v>
      </c>
      <c r="I46" s="331">
        <f>('Poliof40 - LIVROB'!$E$73*I6+'Poliof40 - LIVROB'!$J$70*I33)/1000</f>
        <v>143.5293</v>
      </c>
      <c r="J46" s="331">
        <f>('Poliof40 - LIVROB'!$E$73*J6+'Poliof40 - LIVROB'!$J$70*J33)/1000</f>
        <v>154.1611</v>
      </c>
      <c r="K46" s="331">
        <f>('Poliof40 - LIVROB'!$E$73*K6+'Poliof40 - LIVROB'!$J$70*K33)/1000</f>
        <v>138.2134</v>
      </c>
      <c r="L46" s="331">
        <f>('Poliof40 - LIVROB'!$E$73*L6+'Poliof40 - LIVROB'!$J$70*L33)/1000</f>
        <v>159.477</v>
      </c>
      <c r="M46" s="331">
        <f>('Poliof40 - LIVROB'!$E$73*M6+'Poliof40 - LIVROB'!$J$70*M33)/1000</f>
        <v>143.5293</v>
      </c>
      <c r="N46" s="15"/>
    </row>
    <row r="47" spans="1:14" ht="12.75">
      <c r="A47" s="330" t="s">
        <v>15</v>
      </c>
      <c r="B47" s="331">
        <f>('Poliof40 - LIVROB'!$E$73*B7+'Poliof40 - LIVROB'!$J$70*B34)/1000</f>
        <v>68.57511</v>
      </c>
      <c r="C47" s="331">
        <f>('Poliof40 - LIVROB'!$E$73*C7+'Poliof40 - LIVROB'!$J$70*C34)/1000</f>
        <v>63.25921</v>
      </c>
      <c r="D47" s="331">
        <f>('Poliof40 - LIVROB'!$E$73*D7+'Poliof40 - LIVROB'!$J$70*D34)/1000</f>
        <v>47.311510000000006</v>
      </c>
      <c r="E47" s="331">
        <f>('Poliof40 - LIVROB'!$E$73*E7+'Poliof40 - LIVROB'!$J$70*E34)/1000</f>
        <v>52.627410000000005</v>
      </c>
      <c r="F47" s="331">
        <f>('Poliof40 - LIVROB'!$E$73*F7+'Poliof40 - LIVROB'!$J$70*F34)/1000</f>
        <v>47.311510000000006</v>
      </c>
      <c r="G47" s="331">
        <f>('Poliof40 - LIVROB'!$E$73*G7+'Poliof40 - LIVROB'!$J$70*G34)/1000</f>
        <v>52.627410000000005</v>
      </c>
      <c r="H47" s="331">
        <f>('Poliof40 - LIVROB'!$E$73*H7+'Poliof40 - LIVROB'!$J$70*H34)/1000</f>
        <v>47.311510000000006</v>
      </c>
      <c r="I47" s="331">
        <f>('Poliof40 - LIVROB'!$E$73*I7+'Poliof40 - LIVROB'!$J$70*I34)/1000</f>
        <v>52.627410000000005</v>
      </c>
      <c r="J47" s="331">
        <f>('Poliof40 - LIVROB'!$E$73*J7+'Poliof40 - LIVROB'!$J$70*J34)/1000</f>
        <v>47.311510000000006</v>
      </c>
      <c r="K47" s="331">
        <f>('Poliof40 - LIVROB'!$E$73*K7+'Poliof40 - LIVROB'!$J$70*K34)/1000</f>
        <v>57.943310000000004</v>
      </c>
      <c r="L47" s="331">
        <f>('Poliof40 - LIVROB'!$E$73*L7+'Poliof40 - LIVROB'!$J$70*L34)/1000</f>
        <v>47.311510000000006</v>
      </c>
      <c r="M47" s="331">
        <f>('Poliof40 - LIVROB'!$E$73*M7+'Poliof40 - LIVROB'!$J$70*M34)/1000</f>
        <v>52.627410000000005</v>
      </c>
      <c r="N47" s="15"/>
    </row>
    <row r="48" spans="1:14" ht="12.75">
      <c r="A48" s="330" t="s">
        <v>16</v>
      </c>
      <c r="B48" s="331">
        <f>('Poliof40 - LIVROB'!$E$73*B8+'Poliof40 - LIVROB'!$J$70*B35)/1000</f>
        <v>116.9498</v>
      </c>
      <c r="C48" s="331">
        <f>('Poliof40 - LIVROB'!$E$73*C8+'Poliof40 - LIVROB'!$J$70*C35)/1000</f>
        <v>132.8975</v>
      </c>
      <c r="D48" s="331">
        <f>('Poliof40 - LIVROB'!$E$73*D8+'Poliof40 - LIVROB'!$J$70*D35)/1000</f>
        <v>132.8975</v>
      </c>
      <c r="E48" s="331">
        <f>('Poliof40 - LIVROB'!$E$73*E8+'Poliof40 - LIVROB'!$J$70*E35)/1000</f>
        <v>148.8452</v>
      </c>
      <c r="F48" s="331">
        <f>('Poliof40 - LIVROB'!$E$73*F8+'Poliof40 - LIVROB'!$J$70*F35)/1000</f>
        <v>148.8452</v>
      </c>
      <c r="G48" s="331">
        <f>('Poliof40 - LIVROB'!$E$73*G8+'Poliof40 - LIVROB'!$J$70*G35)/1000</f>
        <v>148.8452</v>
      </c>
      <c r="H48" s="331">
        <f>('Poliof40 - LIVROB'!$E$73*H8+'Poliof40 - LIVROB'!$J$70*H35)/1000</f>
        <v>148.8452</v>
      </c>
      <c r="I48" s="331">
        <f>('Poliof40 - LIVROB'!$E$73*I8+'Poliof40 - LIVROB'!$J$70*I35)/1000</f>
        <v>148.8452</v>
      </c>
      <c r="J48" s="331">
        <f>('Poliof40 - LIVROB'!$E$73*J8+'Poliof40 - LIVROB'!$J$70*J35)/1000</f>
        <v>148.8452</v>
      </c>
      <c r="K48" s="331">
        <f>('Poliof40 - LIVROB'!$E$73*K8+'Poliof40 - LIVROB'!$J$70*K35)/1000</f>
        <v>148.8452</v>
      </c>
      <c r="L48" s="331">
        <f>('Poliof40 - LIVROB'!$E$73*L8+'Poliof40 - LIVROB'!$J$70*L35)/1000</f>
        <v>148.8452</v>
      </c>
      <c r="M48" s="331">
        <f>('Poliof40 - LIVROB'!$E$73*M8+'Poliof40 - LIVROB'!$J$70*M35)/1000</f>
        <v>148.8452</v>
      </c>
      <c r="N48" s="15"/>
    </row>
    <row r="49" spans="1:14" ht="12.75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4" ht="12.75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4" ht="12.75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4" ht="12.75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69.386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77.981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85.985</v>
      </c>
    </row>
    <row r="53" spans="1:4" ht="12.75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116.404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145.172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157.125</v>
      </c>
    </row>
    <row r="54" spans="1:4" ht="12.75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84.598</v>
      </c>
      <c r="C54" s="111"/>
      <c r="D54" s="111"/>
    </row>
    <row r="55" ht="13.5" thickBot="1"/>
    <row r="56" s="116" customFormat="1" ht="14.25" thickBot="1" thickTop="1">
      <c r="O56" s="227"/>
    </row>
    <row r="57" spans="1:15" s="15" customFormat="1" ht="21" thickBot="1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ht="12.75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ht="12.75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ht="12.75">
      <c r="A62" s="114"/>
      <c r="B62" s="396"/>
      <c r="C62" s="400"/>
      <c r="D62" s="405" t="s">
        <v>30</v>
      </c>
      <c r="E62" s="352">
        <v>0.44</v>
      </c>
      <c r="F62" s="352">
        <v>0.28</v>
      </c>
      <c r="G62" s="352">
        <v>0.19</v>
      </c>
      <c r="H62" s="352">
        <v>0.09</v>
      </c>
      <c r="I62" s="406">
        <f>SUM(E62:H62)</f>
        <v>0.9999999999999999</v>
      </c>
      <c r="J62" s="400"/>
      <c r="K62" s="400"/>
      <c r="L62" s="401"/>
      <c r="M62" s="211"/>
      <c r="O62" s="222"/>
    </row>
    <row r="63" spans="1:15" s="15" customFormat="1" ht="5.25" customHeight="1" thickBot="1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ht="12.75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ht="12.75">
      <c r="A68" s="114"/>
      <c r="B68" s="396"/>
      <c r="C68" s="420" t="s">
        <v>34</v>
      </c>
      <c r="D68" s="352">
        <v>0.19</v>
      </c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ht="12.75">
      <c r="A69" s="114"/>
      <c r="B69" s="396"/>
      <c r="C69" s="420" t="s">
        <v>36</v>
      </c>
      <c r="D69" s="352">
        <v>0.1</v>
      </c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ht="12.75">
      <c r="A70" s="114"/>
      <c r="B70" s="396"/>
      <c r="C70" s="420" t="s">
        <v>38</v>
      </c>
      <c r="D70" s="352">
        <v>0.24</v>
      </c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ht="12.75">
      <c r="A71" s="114"/>
      <c r="B71" s="396"/>
      <c r="C71" s="420" t="s">
        <v>40</v>
      </c>
      <c r="D71" s="352">
        <v>0.22</v>
      </c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ht="12.75">
      <c r="A72" s="114"/>
      <c r="B72" s="396"/>
      <c r="C72" s="420" t="s">
        <v>41</v>
      </c>
      <c r="D72" s="352">
        <v>0.25</v>
      </c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ht="12.75">
      <c r="A73" s="114"/>
      <c r="B73" s="396"/>
      <c r="C73" s="426" t="s">
        <v>39</v>
      </c>
      <c r="D73" s="406">
        <f>SUM(D68:D72)</f>
        <v>1</v>
      </c>
      <c r="E73" s="427">
        <f>(D68*E68)+D69*E69+D70*E70+D71*E71+D72*E72</f>
        <v>531.59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Bot="1" thickTop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2:8" ht="21" thickBot="1">
      <c r="B77" s="319" t="s">
        <v>42</v>
      </c>
      <c r="C77" s="320"/>
      <c r="D77" s="316"/>
      <c r="E77" s="316"/>
      <c r="F77" s="316"/>
      <c r="G77" s="317"/>
      <c r="H77" s="318"/>
    </row>
    <row r="78" spans="3:7" ht="12.75">
      <c r="C78" s="17"/>
      <c r="D78" s="17"/>
      <c r="E78" s="17"/>
      <c r="F78" s="17"/>
      <c r="G78" s="18"/>
    </row>
    <row r="79" ht="12.75"/>
    <row r="80" spans="3:10" ht="12.75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</v>
      </c>
      <c r="I80" s="16" t="s">
        <v>0</v>
      </c>
      <c r="J80" s="110" t="s">
        <v>0</v>
      </c>
    </row>
    <row r="81" spans="1:14" ht="12.75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ht="12.75">
      <c r="A82" s="330" t="s">
        <v>14</v>
      </c>
      <c r="B82" s="336"/>
      <c r="C82" s="331">
        <f>ROUND($B$6*E$62*$D$68,0)</f>
        <v>21</v>
      </c>
      <c r="D82" s="331">
        <f>ROUND($B$6*F$62*$D$68,0)</f>
        <v>13</v>
      </c>
      <c r="E82" s="331">
        <f>ROUND($B$6*G$62*$D$68,0)</f>
        <v>9</v>
      </c>
      <c r="F82" s="331">
        <f>ROUND($B$6*H$62*$D$68,0)</f>
        <v>4</v>
      </c>
      <c r="G82" s="331">
        <f>ROUND($C$6*E$62*$D$68,0)</f>
        <v>22</v>
      </c>
      <c r="H82" s="331">
        <f>ROUND($C$6*F$62*$D$68,0)</f>
        <v>14</v>
      </c>
      <c r="I82" s="331">
        <f>ROUND($C$6*G$62*$D$68,0)</f>
        <v>9</v>
      </c>
      <c r="J82" s="331">
        <f>ROUND($C$6*H$62*$D$68,0)</f>
        <v>4</v>
      </c>
      <c r="K82" s="331">
        <f>ROUND($D$6*E$62*$D$68,0)</f>
        <v>23</v>
      </c>
      <c r="L82" s="331">
        <f>ROUND($D$6*F$62*$D$68,0)</f>
        <v>15</v>
      </c>
      <c r="M82" s="331">
        <f>ROUND($D$6*G$62*$D$68,0)</f>
        <v>10</v>
      </c>
      <c r="N82" s="331">
        <f>ROUND($D$6*H$62*$D$68,0)</f>
        <v>5</v>
      </c>
    </row>
    <row r="83" spans="1:14" ht="12.75">
      <c r="A83" s="330" t="s">
        <v>55</v>
      </c>
      <c r="B83" s="331">
        <f>D80</f>
        <v>27</v>
      </c>
      <c r="C83" s="331">
        <f aca="true" t="shared" si="2" ref="C83:N83">B83+C84-C82</f>
        <v>21</v>
      </c>
      <c r="D83" s="331">
        <f t="shared" si="2"/>
        <v>23</v>
      </c>
      <c r="E83" s="331">
        <f t="shared" si="2"/>
        <v>24</v>
      </c>
      <c r="F83" s="331">
        <f t="shared" si="2"/>
        <v>30</v>
      </c>
      <c r="G83" s="331">
        <f t="shared" si="2"/>
        <v>23</v>
      </c>
      <c r="H83" s="331">
        <f t="shared" si="2"/>
        <v>24</v>
      </c>
      <c r="I83" s="331">
        <f t="shared" si="2"/>
        <v>25</v>
      </c>
      <c r="J83" s="331">
        <f t="shared" si="2"/>
        <v>36</v>
      </c>
      <c r="K83" s="331">
        <f t="shared" si="2"/>
        <v>28</v>
      </c>
      <c r="L83" s="331">
        <f t="shared" si="2"/>
        <v>28</v>
      </c>
      <c r="M83" s="331">
        <f t="shared" si="2"/>
        <v>33</v>
      </c>
      <c r="N83" s="331">
        <f t="shared" si="2"/>
        <v>38</v>
      </c>
    </row>
    <row r="84" spans="1:14" ht="12.75">
      <c r="A84" s="330" t="s">
        <v>56</v>
      </c>
      <c r="B84" s="334"/>
      <c r="C84" s="34">
        <v>15</v>
      </c>
      <c r="D84" s="34">
        <v>15</v>
      </c>
      <c r="E84" s="34">
        <v>10</v>
      </c>
      <c r="F84" s="34">
        <v>10</v>
      </c>
      <c r="G84" s="34">
        <v>15</v>
      </c>
      <c r="H84" s="34">
        <v>15</v>
      </c>
      <c r="I84" s="34">
        <v>10</v>
      </c>
      <c r="J84" s="34">
        <v>15</v>
      </c>
      <c r="K84" s="34">
        <v>15</v>
      </c>
      <c r="L84" s="34">
        <v>15</v>
      </c>
      <c r="M84" s="34">
        <v>15</v>
      </c>
      <c r="N84" s="34">
        <v>10</v>
      </c>
    </row>
    <row r="85" spans="1:14" ht="12.75">
      <c r="A85" s="330" t="s">
        <v>57</v>
      </c>
      <c r="B85" s="336"/>
      <c r="C85" s="331">
        <f aca="true" t="shared" si="3" ref="C85:N85">ROUND(IF($G80=0,0,C84/$G80),0)</f>
        <v>16</v>
      </c>
      <c r="D85" s="331">
        <f t="shared" si="3"/>
        <v>16</v>
      </c>
      <c r="E85" s="331">
        <f t="shared" si="3"/>
        <v>11</v>
      </c>
      <c r="F85" s="331">
        <f t="shared" si="3"/>
        <v>11</v>
      </c>
      <c r="G85" s="331">
        <f t="shared" si="3"/>
        <v>16</v>
      </c>
      <c r="H85" s="331">
        <f t="shared" si="3"/>
        <v>16</v>
      </c>
      <c r="I85" s="331">
        <f t="shared" si="3"/>
        <v>11</v>
      </c>
      <c r="J85" s="331">
        <f t="shared" si="3"/>
        <v>16</v>
      </c>
      <c r="K85" s="331">
        <f t="shared" si="3"/>
        <v>16</v>
      </c>
      <c r="L85" s="331">
        <f t="shared" si="3"/>
        <v>16</v>
      </c>
      <c r="M85" s="331">
        <f t="shared" si="3"/>
        <v>16</v>
      </c>
      <c r="N85" s="331">
        <f t="shared" si="3"/>
        <v>11</v>
      </c>
    </row>
    <row r="86" ht="12.75"/>
    <row r="87" spans="3:10" ht="12.75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</v>
      </c>
      <c r="I87" s="16" t="s">
        <v>0</v>
      </c>
      <c r="J87" s="110" t="s">
        <v>0</v>
      </c>
    </row>
    <row r="88" spans="1:14" ht="12.75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ht="12.75">
      <c r="A89" s="330" t="s">
        <v>14</v>
      </c>
      <c r="B89" s="336"/>
      <c r="C89" s="331">
        <f>ROUND($B$6*E$62*$D$69,0)</f>
        <v>11</v>
      </c>
      <c r="D89" s="331">
        <f>ROUND($B$6*F$62*$D$69,0)</f>
        <v>7</v>
      </c>
      <c r="E89" s="331">
        <f>ROUND($B$6*G$62*$D$69,0)</f>
        <v>5</v>
      </c>
      <c r="F89" s="331">
        <f>ROUND($B$6*H$62*$D$69,0)</f>
        <v>2</v>
      </c>
      <c r="G89" s="331">
        <f>ROUND($C$6*E$62*$D$69,0)</f>
        <v>11</v>
      </c>
      <c r="H89" s="331">
        <f>ROUND($C$6*F$62*$D$69,0)</f>
        <v>7</v>
      </c>
      <c r="I89" s="331">
        <f>ROUND($C$6*G$62*$D$69,0)</f>
        <v>5</v>
      </c>
      <c r="J89" s="331">
        <f>ROUND($C$6*H$62*$D$69,0)</f>
        <v>2</v>
      </c>
      <c r="K89" s="331">
        <f>ROUND($D$6*E$62*$D$69,0)</f>
        <v>12</v>
      </c>
      <c r="L89" s="331">
        <f>ROUND($D$6*F$62*$D$69,0)</f>
        <v>8</v>
      </c>
      <c r="M89" s="331">
        <f>ROUND($D$6*G$62*$D$69,0)</f>
        <v>5</v>
      </c>
      <c r="N89" s="331">
        <f>ROUND($D$6*H$62*$D$69,0)</f>
        <v>3</v>
      </c>
    </row>
    <row r="90" spans="1:14" ht="12.75">
      <c r="A90" s="330" t="s">
        <v>55</v>
      </c>
      <c r="B90" s="331">
        <f>D87</f>
        <v>6</v>
      </c>
      <c r="C90" s="331">
        <f aca="true" t="shared" si="4" ref="C90:N90">B90+C91-C89</f>
        <v>0</v>
      </c>
      <c r="D90" s="331">
        <f t="shared" si="4"/>
        <v>-2</v>
      </c>
      <c r="E90" s="331">
        <f t="shared" si="4"/>
        <v>-2</v>
      </c>
      <c r="F90" s="331">
        <f t="shared" si="4"/>
        <v>1</v>
      </c>
      <c r="G90" s="331">
        <f t="shared" si="4"/>
        <v>-4</v>
      </c>
      <c r="H90" s="331">
        <f t="shared" si="4"/>
        <v>-5</v>
      </c>
      <c r="I90" s="331">
        <f t="shared" si="4"/>
        <v>-4</v>
      </c>
      <c r="J90" s="331">
        <f t="shared" si="4"/>
        <v>1</v>
      </c>
      <c r="K90" s="331">
        <f t="shared" si="4"/>
        <v>-4</v>
      </c>
      <c r="L90" s="331">
        <f t="shared" si="4"/>
        <v>-5</v>
      </c>
      <c r="M90" s="331">
        <f t="shared" si="4"/>
        <v>-3</v>
      </c>
      <c r="N90" s="331">
        <f t="shared" si="4"/>
        <v>1</v>
      </c>
    </row>
    <row r="91" spans="1:14" ht="12.75">
      <c r="A91" s="330" t="s">
        <v>56</v>
      </c>
      <c r="B91" s="334" t="s">
        <v>0</v>
      </c>
      <c r="C91" s="34">
        <v>5</v>
      </c>
      <c r="D91" s="34">
        <v>5</v>
      </c>
      <c r="E91" s="34">
        <v>5</v>
      </c>
      <c r="F91" s="34">
        <v>5</v>
      </c>
      <c r="G91" s="34">
        <v>6</v>
      </c>
      <c r="H91" s="34">
        <v>6</v>
      </c>
      <c r="I91" s="34">
        <v>6</v>
      </c>
      <c r="J91" s="34">
        <v>7</v>
      </c>
      <c r="K91" s="34">
        <v>7</v>
      </c>
      <c r="L91" s="34">
        <v>7</v>
      </c>
      <c r="M91" s="34">
        <v>7</v>
      </c>
      <c r="N91" s="34">
        <v>7</v>
      </c>
    </row>
    <row r="92" spans="1:14" ht="12.75">
      <c r="A92" s="330" t="s">
        <v>57</v>
      </c>
      <c r="B92" s="336"/>
      <c r="C92" s="331">
        <f aca="true" t="shared" si="5" ref="C92:N92">ROUND(IF($G87=0,0,C91/$G87),0)</f>
        <v>5</v>
      </c>
      <c r="D92" s="331">
        <f t="shared" si="5"/>
        <v>5</v>
      </c>
      <c r="E92" s="331">
        <f t="shared" si="5"/>
        <v>5</v>
      </c>
      <c r="F92" s="331">
        <f t="shared" si="5"/>
        <v>5</v>
      </c>
      <c r="G92" s="331">
        <f t="shared" si="5"/>
        <v>6</v>
      </c>
      <c r="H92" s="331">
        <f t="shared" si="5"/>
        <v>6</v>
      </c>
      <c r="I92" s="331">
        <f t="shared" si="5"/>
        <v>6</v>
      </c>
      <c r="J92" s="331">
        <f t="shared" si="5"/>
        <v>8</v>
      </c>
      <c r="K92" s="331">
        <f t="shared" si="5"/>
        <v>8</v>
      </c>
      <c r="L92" s="331">
        <f t="shared" si="5"/>
        <v>8</v>
      </c>
      <c r="M92" s="331">
        <f t="shared" si="5"/>
        <v>8</v>
      </c>
      <c r="N92" s="331">
        <f t="shared" si="5"/>
        <v>8</v>
      </c>
    </row>
    <row r="93" ht="12.75"/>
    <row r="94" spans="3:10" ht="12.75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</v>
      </c>
      <c r="I94" s="16" t="s">
        <v>0</v>
      </c>
      <c r="J94" s="110" t="s">
        <v>0</v>
      </c>
    </row>
    <row r="95" spans="1:14" ht="12.75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ht="12.75">
      <c r="A96" s="330" t="s">
        <v>14</v>
      </c>
      <c r="B96" s="336"/>
      <c r="C96" s="331">
        <f>ROUND($B$6*E$62*$D$70,0)</f>
        <v>26</v>
      </c>
      <c r="D96" s="331">
        <f>ROUND($B$6*F$62*$D$70,0)</f>
        <v>17</v>
      </c>
      <c r="E96" s="331">
        <f>ROUND($B$6*G$62*$D$70,0)</f>
        <v>11</v>
      </c>
      <c r="F96" s="331">
        <f>ROUND($B$6*H$62*$D$70,0)</f>
        <v>5</v>
      </c>
      <c r="G96" s="331">
        <f>ROUND($C$6*E$62*$D$70,0)</f>
        <v>27</v>
      </c>
      <c r="H96" s="331">
        <f>ROUND($C$6*F$62*$D$70,0)</f>
        <v>17</v>
      </c>
      <c r="I96" s="331">
        <f>ROUND($C$6*G$62*$D$70,0)</f>
        <v>12</v>
      </c>
      <c r="J96" s="331">
        <f>ROUND($C$6*H$62*$D$70,0)</f>
        <v>6</v>
      </c>
      <c r="K96" s="331">
        <f>ROUND($D$6*E$62*$D$70,0)</f>
        <v>30</v>
      </c>
      <c r="L96" s="331">
        <f>ROUND($D$6*F$62*$D$70,0)</f>
        <v>19</v>
      </c>
      <c r="M96" s="331">
        <f>ROUND($D$6*G$62*$D$70,0)</f>
        <v>13</v>
      </c>
      <c r="N96" s="331">
        <f>ROUND($D$6*H$62*$D$70,0)</f>
        <v>6</v>
      </c>
    </row>
    <row r="97" spans="1:14" ht="12.75">
      <c r="A97" s="330" t="s">
        <v>55</v>
      </c>
      <c r="B97" s="331">
        <f>D94</f>
        <v>15</v>
      </c>
      <c r="C97" s="331">
        <f aca="true" t="shared" si="6" ref="C97:N97">B97+C98-C96</f>
        <v>9</v>
      </c>
      <c r="D97" s="331">
        <f t="shared" si="6"/>
        <v>11</v>
      </c>
      <c r="E97" s="331">
        <f t="shared" si="6"/>
        <v>10</v>
      </c>
      <c r="F97" s="331">
        <f t="shared" si="6"/>
        <v>10</v>
      </c>
      <c r="G97" s="331">
        <f t="shared" si="6"/>
        <v>8</v>
      </c>
      <c r="H97" s="331">
        <f t="shared" si="6"/>
        <v>7</v>
      </c>
      <c r="I97" s="331">
        <f t="shared" si="6"/>
        <v>6</v>
      </c>
      <c r="J97" s="331">
        <f t="shared" si="6"/>
        <v>5</v>
      </c>
      <c r="K97" s="331">
        <f t="shared" si="6"/>
        <v>2</v>
      </c>
      <c r="L97" s="331">
        <f t="shared" si="6"/>
        <v>0</v>
      </c>
      <c r="M97" s="331">
        <f t="shared" si="6"/>
        <v>-1</v>
      </c>
      <c r="N97" s="331">
        <f t="shared" si="6"/>
        <v>-1</v>
      </c>
    </row>
    <row r="98" spans="1:14" ht="12.75">
      <c r="A98" s="330" t="s">
        <v>56</v>
      </c>
      <c r="B98" s="334" t="s">
        <v>0</v>
      </c>
      <c r="C98" s="34">
        <v>20</v>
      </c>
      <c r="D98" s="34">
        <v>19</v>
      </c>
      <c r="E98" s="34">
        <v>10</v>
      </c>
      <c r="F98" s="34">
        <v>5</v>
      </c>
      <c r="G98" s="34">
        <v>25</v>
      </c>
      <c r="H98" s="34">
        <v>16</v>
      </c>
      <c r="I98" s="34">
        <v>11</v>
      </c>
      <c r="J98" s="34">
        <v>5</v>
      </c>
      <c r="K98" s="34">
        <v>27</v>
      </c>
      <c r="L98" s="34">
        <v>17</v>
      </c>
      <c r="M98" s="34">
        <v>12</v>
      </c>
      <c r="N98" s="34">
        <v>6</v>
      </c>
    </row>
    <row r="99" spans="1:14" ht="12.75">
      <c r="A99" s="330" t="s">
        <v>57</v>
      </c>
      <c r="B99" s="336"/>
      <c r="C99" s="331">
        <f aca="true" t="shared" si="7" ref="C99:N99">ROUND(IF($G94=0,0,C98/$G94),0)</f>
        <v>22</v>
      </c>
      <c r="D99" s="331">
        <f t="shared" si="7"/>
        <v>20</v>
      </c>
      <c r="E99" s="331">
        <f t="shared" si="7"/>
        <v>11</v>
      </c>
      <c r="F99" s="331">
        <f t="shared" si="7"/>
        <v>5</v>
      </c>
      <c r="G99" s="331">
        <f t="shared" si="7"/>
        <v>27</v>
      </c>
      <c r="H99" s="331">
        <f t="shared" si="7"/>
        <v>17</v>
      </c>
      <c r="I99" s="331">
        <f t="shared" si="7"/>
        <v>12</v>
      </c>
      <c r="J99" s="331">
        <f t="shared" si="7"/>
        <v>5</v>
      </c>
      <c r="K99" s="331">
        <f t="shared" si="7"/>
        <v>29</v>
      </c>
      <c r="L99" s="331">
        <f t="shared" si="7"/>
        <v>18</v>
      </c>
      <c r="M99" s="331">
        <f t="shared" si="7"/>
        <v>13</v>
      </c>
      <c r="N99" s="331">
        <f t="shared" si="7"/>
        <v>6</v>
      </c>
    </row>
    <row r="100" ht="12.75"/>
    <row r="101" spans="3:10" ht="12.75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</v>
      </c>
      <c r="I101" s="16" t="s">
        <v>0</v>
      </c>
      <c r="J101" s="110" t="s">
        <v>0</v>
      </c>
    </row>
    <row r="102" spans="1:14" ht="12.75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ht="12.75">
      <c r="A103" s="330" t="s">
        <v>14</v>
      </c>
      <c r="B103" s="336"/>
      <c r="C103" s="331">
        <f>ROUND($B$6*E$62*$D$71,0)</f>
        <v>24</v>
      </c>
      <c r="D103" s="331">
        <f>ROUND($B$6*F$62*$D$71,0)</f>
        <v>15</v>
      </c>
      <c r="E103" s="331">
        <f>ROUND($B$6*G$62*$D$71,0)</f>
        <v>10</v>
      </c>
      <c r="F103" s="331">
        <f>ROUND($B$6*H$62*$D$71,0)</f>
        <v>5</v>
      </c>
      <c r="G103" s="331">
        <f>ROUND($C$6*E$62*$D$71,0)</f>
        <v>25</v>
      </c>
      <c r="H103" s="331">
        <f>ROUND($C$6*F$62*$D$71,0)</f>
        <v>16</v>
      </c>
      <c r="I103" s="331">
        <f>ROUND($C$6*G$62*$D$71,0)</f>
        <v>11</v>
      </c>
      <c r="J103" s="331">
        <f>ROUND($C$6*H$62*$D$71,0)</f>
        <v>5</v>
      </c>
      <c r="K103" s="331">
        <f>ROUND($D$6*E$62*$D$71,0)</f>
        <v>27</v>
      </c>
      <c r="L103" s="331">
        <f>ROUND($D$6*F$62*$D$71,0)</f>
        <v>17</v>
      </c>
      <c r="M103" s="331">
        <f>ROUND($D$6*G$62*$D$71,0)</f>
        <v>12</v>
      </c>
      <c r="N103" s="331">
        <f>ROUND($D$6*H$62*$D$71,0)</f>
        <v>6</v>
      </c>
    </row>
    <row r="104" spans="1:14" ht="12.75">
      <c r="A104" s="330" t="s">
        <v>55</v>
      </c>
      <c r="B104" s="331">
        <f>D101</f>
        <v>27</v>
      </c>
      <c r="C104" s="331">
        <f aca="true" t="shared" si="8" ref="C104:N104">B104+C105-C103</f>
        <v>12</v>
      </c>
      <c r="D104" s="331">
        <f t="shared" si="8"/>
        <v>6</v>
      </c>
      <c r="E104" s="331">
        <f t="shared" si="8"/>
        <v>5</v>
      </c>
      <c r="F104" s="331">
        <f t="shared" si="8"/>
        <v>9</v>
      </c>
      <c r="G104" s="331">
        <f t="shared" si="8"/>
        <v>-7</v>
      </c>
      <c r="H104" s="331">
        <f t="shared" si="8"/>
        <v>-13</v>
      </c>
      <c r="I104" s="331">
        <f t="shared" si="8"/>
        <v>-7</v>
      </c>
      <c r="J104" s="331">
        <f t="shared" si="8"/>
        <v>5</v>
      </c>
      <c r="K104" s="331">
        <f t="shared" si="8"/>
        <v>-5</v>
      </c>
      <c r="L104" s="331">
        <f t="shared" si="8"/>
        <v>-5</v>
      </c>
      <c r="M104" s="331">
        <f t="shared" si="8"/>
        <v>0</v>
      </c>
      <c r="N104" s="331">
        <f t="shared" si="8"/>
        <v>11</v>
      </c>
    </row>
    <row r="105" spans="1:14" ht="12.75">
      <c r="A105" s="330" t="s">
        <v>56</v>
      </c>
      <c r="B105" s="334" t="s">
        <v>0</v>
      </c>
      <c r="C105" s="34">
        <v>9</v>
      </c>
      <c r="D105" s="34">
        <v>9</v>
      </c>
      <c r="E105" s="34">
        <v>9</v>
      </c>
      <c r="F105" s="34">
        <v>9</v>
      </c>
      <c r="G105" s="34">
        <v>9</v>
      </c>
      <c r="H105" s="34">
        <v>10</v>
      </c>
      <c r="I105" s="34">
        <v>17</v>
      </c>
      <c r="J105" s="34">
        <v>17</v>
      </c>
      <c r="K105" s="34">
        <v>17</v>
      </c>
      <c r="L105" s="34">
        <v>17</v>
      </c>
      <c r="M105" s="34">
        <v>17</v>
      </c>
      <c r="N105" s="34">
        <v>17</v>
      </c>
    </row>
    <row r="106" spans="1:14" ht="12.75">
      <c r="A106" s="330" t="s">
        <v>57</v>
      </c>
      <c r="B106" s="336"/>
      <c r="C106" s="331">
        <f aca="true" t="shared" si="9" ref="C106:N106">ROUND(IF($G101=0,0,C105/$G101),0)</f>
        <v>10</v>
      </c>
      <c r="D106" s="331">
        <f t="shared" si="9"/>
        <v>10</v>
      </c>
      <c r="E106" s="331">
        <f t="shared" si="9"/>
        <v>10</v>
      </c>
      <c r="F106" s="331">
        <f t="shared" si="9"/>
        <v>10</v>
      </c>
      <c r="G106" s="331">
        <f t="shared" si="9"/>
        <v>10</v>
      </c>
      <c r="H106" s="331">
        <f t="shared" si="9"/>
        <v>11</v>
      </c>
      <c r="I106" s="331">
        <f t="shared" si="9"/>
        <v>18</v>
      </c>
      <c r="J106" s="331">
        <f t="shared" si="9"/>
        <v>18</v>
      </c>
      <c r="K106" s="331">
        <f t="shared" si="9"/>
        <v>18</v>
      </c>
      <c r="L106" s="331">
        <f t="shared" si="9"/>
        <v>18</v>
      </c>
      <c r="M106" s="331">
        <f t="shared" si="9"/>
        <v>18</v>
      </c>
      <c r="N106" s="331">
        <f t="shared" si="9"/>
        <v>18</v>
      </c>
    </row>
    <row r="107" ht="12.75"/>
    <row r="108" spans="3:10" ht="12.75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</v>
      </c>
      <c r="I108" s="16" t="s">
        <v>0</v>
      </c>
      <c r="J108" s="110" t="s">
        <v>0</v>
      </c>
    </row>
    <row r="109" spans="1:14" ht="12.75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ht="12.75">
      <c r="A110" s="330" t="s">
        <v>14</v>
      </c>
      <c r="B110" s="336"/>
      <c r="C110" s="331">
        <f>ROUND($B$6*E$62*$D$72,0)</f>
        <v>27</v>
      </c>
      <c r="D110" s="331">
        <f>ROUND($B$6*F$62*$D$72,0)</f>
        <v>17</v>
      </c>
      <c r="E110" s="331">
        <f>ROUND($B$6*G$62*$D$72,0)</f>
        <v>12</v>
      </c>
      <c r="F110" s="331">
        <f>ROUND($B$6*H$62*$D$72,0)</f>
        <v>6</v>
      </c>
      <c r="G110" s="331">
        <f>ROUND($C$6*E$62*$D$72,0)</f>
        <v>29</v>
      </c>
      <c r="H110" s="331">
        <f>ROUND($C$6*F$62*$D$72,0)</f>
        <v>18</v>
      </c>
      <c r="I110" s="331">
        <f>ROUND($C$6*G$62*$D$72,0)</f>
        <v>12</v>
      </c>
      <c r="J110" s="331">
        <f>ROUND($C$6*H$62*$D$72,0)</f>
        <v>6</v>
      </c>
      <c r="K110" s="331">
        <f>ROUND($D$6*E$62*$D$72,0)</f>
        <v>31</v>
      </c>
      <c r="L110" s="331">
        <f>ROUND($D$6*F$62*$D$72,0)</f>
        <v>20</v>
      </c>
      <c r="M110" s="331">
        <f>ROUND($D$6*G$62*$D$72,0)</f>
        <v>13</v>
      </c>
      <c r="N110" s="331">
        <f>ROUND($D$6*H$62*$D$72,0)</f>
        <v>6</v>
      </c>
    </row>
    <row r="111" spans="1:14" ht="12.75">
      <c r="A111" s="330" t="s">
        <v>55</v>
      </c>
      <c r="B111" s="331">
        <f>D108</f>
        <v>82</v>
      </c>
      <c r="C111" s="331">
        <f aca="true" t="shared" si="10" ref="C111:N111">B111+C112-C110</f>
        <v>70</v>
      </c>
      <c r="D111" s="331">
        <f t="shared" si="10"/>
        <v>68</v>
      </c>
      <c r="E111" s="331">
        <f t="shared" si="10"/>
        <v>71</v>
      </c>
      <c r="F111" s="331">
        <f t="shared" si="10"/>
        <v>80</v>
      </c>
      <c r="G111" s="331">
        <f t="shared" si="10"/>
        <v>71</v>
      </c>
      <c r="H111" s="331">
        <f t="shared" si="10"/>
        <v>73</v>
      </c>
      <c r="I111" s="331">
        <f t="shared" si="10"/>
        <v>81</v>
      </c>
      <c r="J111" s="331">
        <f t="shared" si="10"/>
        <v>95</v>
      </c>
      <c r="K111" s="331">
        <f t="shared" si="10"/>
        <v>84</v>
      </c>
      <c r="L111" s="331">
        <f t="shared" si="10"/>
        <v>84</v>
      </c>
      <c r="M111" s="331">
        <f t="shared" si="10"/>
        <v>91</v>
      </c>
      <c r="N111" s="331">
        <f t="shared" si="10"/>
        <v>105</v>
      </c>
    </row>
    <row r="112" spans="1:14" ht="12.75">
      <c r="A112" s="330" t="s">
        <v>56</v>
      </c>
      <c r="B112" s="334" t="s">
        <v>0</v>
      </c>
      <c r="C112" s="34">
        <v>15</v>
      </c>
      <c r="D112" s="34">
        <v>15</v>
      </c>
      <c r="E112" s="34">
        <v>15</v>
      </c>
      <c r="F112" s="34">
        <v>15</v>
      </c>
      <c r="G112" s="34">
        <v>20</v>
      </c>
      <c r="H112" s="34">
        <v>20</v>
      </c>
      <c r="I112" s="34">
        <v>20</v>
      </c>
      <c r="J112" s="34">
        <v>20</v>
      </c>
      <c r="K112" s="34">
        <v>20</v>
      </c>
      <c r="L112" s="34">
        <v>20</v>
      </c>
      <c r="M112" s="34">
        <v>20</v>
      </c>
      <c r="N112" s="34">
        <v>20</v>
      </c>
    </row>
    <row r="113" spans="1:14" ht="12.75">
      <c r="A113" s="330" t="s">
        <v>57</v>
      </c>
      <c r="B113" s="336"/>
      <c r="C113" s="331">
        <f aca="true" t="shared" si="11" ref="C113:N113">ROUND(IF($G108=0,0,C112/$G108),0)</f>
        <v>16</v>
      </c>
      <c r="D113" s="331">
        <f t="shared" si="11"/>
        <v>16</v>
      </c>
      <c r="E113" s="331">
        <f t="shared" si="11"/>
        <v>16</v>
      </c>
      <c r="F113" s="331">
        <f t="shared" si="11"/>
        <v>16</v>
      </c>
      <c r="G113" s="331">
        <f t="shared" si="11"/>
        <v>22</v>
      </c>
      <c r="H113" s="331">
        <f t="shared" si="11"/>
        <v>22</v>
      </c>
      <c r="I113" s="331">
        <f t="shared" si="11"/>
        <v>22</v>
      </c>
      <c r="J113" s="331">
        <f t="shared" si="11"/>
        <v>22</v>
      </c>
      <c r="K113" s="331">
        <f t="shared" si="11"/>
        <v>22</v>
      </c>
      <c r="L113" s="331">
        <f t="shared" si="11"/>
        <v>22</v>
      </c>
      <c r="M113" s="331">
        <f t="shared" si="11"/>
        <v>22</v>
      </c>
      <c r="N113" s="331">
        <f t="shared" si="11"/>
        <v>22</v>
      </c>
    </row>
    <row r="114" ht="12.75" hidden="1"/>
    <row r="115" spans="3:10" ht="12.75" hidden="1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t="12.75" hidden="1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t="12.75" hidden="1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t="12.75" hidden="1">
      <c r="A118" s="330" t="s">
        <v>55</v>
      </c>
      <c r="B118" s="331">
        <f>D115</f>
        <v>0</v>
      </c>
      <c r="C118" s="331">
        <f aca="true" t="shared" si="12" ref="C118:N118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t="12.75" hidden="1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 hidden="1">
      <c r="A120" s="330" t="s">
        <v>57</v>
      </c>
      <c r="B120" s="336"/>
      <c r="C120" s="331">
        <f aca="true" t="shared" si="13" ref="C120:N120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ht="12.75" hidden="1"/>
    <row r="122" spans="3:10" ht="12.75" hidden="1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t="12.75" hidden="1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t="12.75" hidden="1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t="12.75" hidden="1">
      <c r="A125" s="330" t="s">
        <v>55</v>
      </c>
      <c r="B125" s="331">
        <f>D122</f>
        <v>0</v>
      </c>
      <c r="C125" s="331">
        <f aca="true" t="shared" si="14" ref="C125:N125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t="12.75" hidden="1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330" t="s">
        <v>57</v>
      </c>
      <c r="B127" s="336"/>
      <c r="C127" s="331">
        <f aca="true" t="shared" si="15" ref="C127:N127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ht="13.5" thickBot="1"/>
    <row r="129" spans="1:15" s="116" customFormat="1" ht="14.25" thickBot="1" thickTop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2:8" ht="21" thickBot="1">
      <c r="B130" s="314" t="s">
        <v>64</v>
      </c>
      <c r="C130" s="315"/>
      <c r="D130" s="316"/>
      <c r="E130" s="316"/>
      <c r="F130" s="316"/>
      <c r="G130" s="317"/>
      <c r="H130" s="318"/>
    </row>
    <row r="131" spans="3:11" ht="12.75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ht="12.75"/>
    <row r="133" spans="2:12" ht="12.75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>
        <v>140</v>
      </c>
      <c r="H133" s="339" t="s">
        <v>67</v>
      </c>
      <c r="I133" s="119">
        <v>400</v>
      </c>
      <c r="J133" s="340" t="s">
        <v>44</v>
      </c>
      <c r="K133" s="335">
        <f>1-'Poliof40 - LIVROB'!$D$570</f>
        <v>0.99</v>
      </c>
      <c r="L133" s="114"/>
    </row>
    <row r="134" spans="1:14" ht="12.75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4" ht="12.75">
      <c r="A135" s="330" t="s">
        <v>70</v>
      </c>
      <c r="B135" s="336"/>
      <c r="C135" s="331">
        <f aca="true" t="shared" si="16" ref="C135:N135">C113+C106+2*C92+C85</f>
        <v>52</v>
      </c>
      <c r="D135" s="331">
        <f t="shared" si="16"/>
        <v>52</v>
      </c>
      <c r="E135" s="331">
        <f t="shared" si="16"/>
        <v>47</v>
      </c>
      <c r="F135" s="331">
        <f t="shared" si="16"/>
        <v>47</v>
      </c>
      <c r="G135" s="331">
        <f t="shared" si="16"/>
        <v>60</v>
      </c>
      <c r="H135" s="331">
        <f t="shared" si="16"/>
        <v>61</v>
      </c>
      <c r="I135" s="331">
        <f t="shared" si="16"/>
        <v>63</v>
      </c>
      <c r="J135" s="331">
        <f t="shared" si="16"/>
        <v>72</v>
      </c>
      <c r="K135" s="331">
        <f t="shared" si="16"/>
        <v>72</v>
      </c>
      <c r="L135" s="331">
        <f t="shared" si="16"/>
        <v>72</v>
      </c>
      <c r="M135" s="331">
        <f t="shared" si="16"/>
        <v>72</v>
      </c>
      <c r="N135" s="331">
        <f t="shared" si="16"/>
        <v>67</v>
      </c>
    </row>
    <row r="136" spans="1:14" ht="12.75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4" ht="12.75">
      <c r="A137" s="330" t="s">
        <v>72</v>
      </c>
      <c r="B137" s="331">
        <f>C133+B136+B138</f>
        <v>213</v>
      </c>
      <c r="C137" s="331">
        <f aca="true" t="shared" si="17" ref="C137:N137">B137+C138-C135+C136</f>
        <v>161</v>
      </c>
      <c r="D137" s="331">
        <f t="shared" si="17"/>
        <v>513</v>
      </c>
      <c r="E137" s="331">
        <f t="shared" si="17"/>
        <v>466</v>
      </c>
      <c r="F137" s="331">
        <f t="shared" si="17"/>
        <v>419</v>
      </c>
      <c r="G137" s="331">
        <f t="shared" si="17"/>
        <v>359</v>
      </c>
      <c r="H137" s="331">
        <f t="shared" si="17"/>
        <v>298</v>
      </c>
      <c r="I137" s="331">
        <f t="shared" si="17"/>
        <v>235</v>
      </c>
      <c r="J137" s="331">
        <f t="shared" si="17"/>
        <v>163</v>
      </c>
      <c r="K137" s="331">
        <f t="shared" si="17"/>
        <v>491</v>
      </c>
      <c r="L137" s="331">
        <f t="shared" si="17"/>
        <v>419</v>
      </c>
      <c r="M137" s="331">
        <f t="shared" si="17"/>
        <v>347</v>
      </c>
      <c r="N137" s="331">
        <f t="shared" si="17"/>
        <v>280</v>
      </c>
    </row>
    <row r="138" spans="1:14" ht="12.75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400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4" ht="12.75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404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ht="12.75"/>
    <row r="141" spans="2:12" ht="12.75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>
        <v>5</v>
      </c>
      <c r="H141" s="339" t="s">
        <v>67</v>
      </c>
      <c r="I141" s="119">
        <v>36</v>
      </c>
      <c r="J141" s="340" t="s">
        <v>44</v>
      </c>
      <c r="K141" s="335">
        <f>1-'Poliof40 - LIVROB'!$D$571</f>
        <v>0.95</v>
      </c>
      <c r="L141" s="114"/>
    </row>
    <row r="142" spans="1:14" ht="12.75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4" ht="12.75">
      <c r="A143" s="330" t="s">
        <v>70</v>
      </c>
      <c r="B143" s="336"/>
      <c r="C143" s="331">
        <f aca="true" t="shared" si="18" ref="C143:N143">C113</f>
        <v>16</v>
      </c>
      <c r="D143" s="331">
        <f t="shared" si="18"/>
        <v>16</v>
      </c>
      <c r="E143" s="331">
        <f t="shared" si="18"/>
        <v>16</v>
      </c>
      <c r="F143" s="331">
        <f t="shared" si="18"/>
        <v>16</v>
      </c>
      <c r="G143" s="331">
        <f t="shared" si="18"/>
        <v>22</v>
      </c>
      <c r="H143" s="331">
        <f t="shared" si="18"/>
        <v>22</v>
      </c>
      <c r="I143" s="331">
        <f t="shared" si="18"/>
        <v>22</v>
      </c>
      <c r="J143" s="331">
        <f t="shared" si="18"/>
        <v>22</v>
      </c>
      <c r="K143" s="331">
        <f t="shared" si="18"/>
        <v>22</v>
      </c>
      <c r="L143" s="331">
        <f t="shared" si="18"/>
        <v>22</v>
      </c>
      <c r="M143" s="331">
        <f t="shared" si="18"/>
        <v>22</v>
      </c>
      <c r="N143" s="331">
        <f t="shared" si="18"/>
        <v>22</v>
      </c>
    </row>
    <row r="144" spans="1:14" ht="12.75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ht="12.75">
      <c r="A145" s="330" t="s">
        <v>72</v>
      </c>
      <c r="B145" s="331">
        <f>C141+B144+B146</f>
        <v>16</v>
      </c>
      <c r="C145" s="331">
        <f aca="true" t="shared" si="19" ref="C145:N145">B145+C146-C143+C144</f>
        <v>38</v>
      </c>
      <c r="D145" s="331">
        <f t="shared" si="19"/>
        <v>22</v>
      </c>
      <c r="E145" s="331">
        <f t="shared" si="19"/>
        <v>6</v>
      </c>
      <c r="F145" s="331">
        <f t="shared" si="19"/>
        <v>26</v>
      </c>
      <c r="G145" s="331">
        <f t="shared" si="19"/>
        <v>40</v>
      </c>
      <c r="H145" s="331">
        <f t="shared" si="19"/>
        <v>18</v>
      </c>
      <c r="I145" s="331">
        <f t="shared" si="19"/>
        <v>32</v>
      </c>
      <c r="J145" s="331">
        <f t="shared" si="19"/>
        <v>10</v>
      </c>
      <c r="K145" s="331">
        <f t="shared" si="19"/>
        <v>24</v>
      </c>
      <c r="L145" s="331">
        <f t="shared" si="19"/>
        <v>38</v>
      </c>
      <c r="M145" s="331">
        <f t="shared" si="19"/>
        <v>16</v>
      </c>
      <c r="N145" s="331">
        <f t="shared" si="19"/>
        <v>30</v>
      </c>
    </row>
    <row r="146" spans="1:14" ht="12.75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36</v>
      </c>
      <c r="G146" s="331">
        <f>IF(F145+G144-G143&lt;G141,MAXA(I141,G141+G143-G144-F145),0)</f>
        <v>36</v>
      </c>
      <c r="H146" s="331">
        <f>IF(G145+H144-H143&lt;G141,MAXA(I141,G141+H143-H144-G145),0)</f>
        <v>0</v>
      </c>
      <c r="I146" s="331">
        <f>IF(H145+I144-I143&lt;G141,MAXA(I141,G141+I143-I144-H145),0)</f>
        <v>36</v>
      </c>
      <c r="J146" s="331">
        <f>IF(I145+J144-J143&lt;G141,MAXA(I141,G141+J143-J144-I145),0)</f>
        <v>0</v>
      </c>
      <c r="K146" s="331">
        <f>IF(J145+K144-K143&lt;G141,MAXA(I141,G141+K143-K144-J145),0)</f>
        <v>36</v>
      </c>
      <c r="L146" s="331">
        <f>IF(K145+L144-L143&lt;G141,MAXA(I141,G141+L143-L144-K145),0)</f>
        <v>36</v>
      </c>
      <c r="M146" s="331">
        <f>IF(L145+M144-M143&lt;G141,MAXA(I141,G141+M143-M144-L145),0)</f>
        <v>0</v>
      </c>
      <c r="N146" s="331">
        <f>IF(M145+N144-N143&lt;G141,MAXA(I141,G141+N143-N144-M145),0)</f>
        <v>36</v>
      </c>
    </row>
    <row r="147" spans="1:14" ht="12.75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38</v>
      </c>
      <c r="E147" s="331">
        <f>ROUND(IF(K141=0,0,(IF(E141=2,G146,IF(E141=7,L146,0)))/K141),0)</f>
        <v>38</v>
      </c>
      <c r="F147" s="331">
        <f>ROUND(IF(K141=0,0,(IF(E141=2,H146,IF(E141=7,M146,0)))/K141),0)</f>
        <v>0</v>
      </c>
      <c r="G147" s="331">
        <f>ROUND(IF(K141=0,0,(IF(E141=2,I146,IF(E141=7,N146,0)))/K141),0)</f>
        <v>38</v>
      </c>
      <c r="H147" s="331">
        <f>ROUND(IF(K141=0,0,(IF(E141=2,J146,0))/K141),0)</f>
        <v>0</v>
      </c>
      <c r="I147" s="331">
        <f>ROUND(IF(K141=0,0,(IF(E141=2,K146,0))/K141),0)</f>
        <v>38</v>
      </c>
      <c r="J147" s="331">
        <f>ROUND(IF(K141=0,0,(IF(E141=2,L146,0))/K141),0)</f>
        <v>38</v>
      </c>
      <c r="K147" s="331">
        <f>ROUND(IF(K141=0,0,(IF(E141=2,M146,0))/K141),0)</f>
        <v>0</v>
      </c>
      <c r="L147" s="331">
        <f>ROUND(IF(K141=0,0,(IF(E141=2,N146,0))/K141),0)</f>
        <v>38</v>
      </c>
      <c r="M147" s="336"/>
      <c r="N147" s="336"/>
    </row>
    <row r="148" ht="12.75"/>
    <row r="149" spans="2:12" ht="12.75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>
        <v>20</v>
      </c>
      <c r="H149" s="339" t="s">
        <v>67</v>
      </c>
      <c r="I149" s="119">
        <v>1</v>
      </c>
      <c r="J149" s="340" t="s">
        <v>44</v>
      </c>
      <c r="K149" s="335">
        <f>1-'Poliof40 - LIVROB'!$D$572</f>
        <v>0.99</v>
      </c>
      <c r="L149" s="114"/>
    </row>
    <row r="150" spans="1:14" ht="12.75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ht="12.75">
      <c r="A151" s="330" t="s">
        <v>70</v>
      </c>
      <c r="B151" s="336"/>
      <c r="C151" s="331">
        <f aca="true" t="shared" si="20" ref="C151:N151">C85+2*C92</f>
        <v>26</v>
      </c>
      <c r="D151" s="331">
        <f t="shared" si="20"/>
        <v>26</v>
      </c>
      <c r="E151" s="331">
        <f t="shared" si="20"/>
        <v>21</v>
      </c>
      <c r="F151" s="331">
        <f t="shared" si="20"/>
        <v>21</v>
      </c>
      <c r="G151" s="331">
        <f t="shared" si="20"/>
        <v>28</v>
      </c>
      <c r="H151" s="331">
        <f t="shared" si="20"/>
        <v>28</v>
      </c>
      <c r="I151" s="331">
        <f t="shared" si="20"/>
        <v>23</v>
      </c>
      <c r="J151" s="331">
        <f t="shared" si="20"/>
        <v>32</v>
      </c>
      <c r="K151" s="331">
        <f t="shared" si="20"/>
        <v>32</v>
      </c>
      <c r="L151" s="331">
        <f t="shared" si="20"/>
        <v>32</v>
      </c>
      <c r="M151" s="331">
        <f t="shared" si="20"/>
        <v>32</v>
      </c>
      <c r="N151" s="331">
        <f t="shared" si="20"/>
        <v>27</v>
      </c>
    </row>
    <row r="152" spans="1:14" ht="12.75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ht="12.75">
      <c r="A153" s="330" t="s">
        <v>72</v>
      </c>
      <c r="B153" s="331">
        <f>C149+B152+B154</f>
        <v>20</v>
      </c>
      <c r="C153" s="331">
        <f aca="true" t="shared" si="21" ref="C153:N153">B153+C154-C151+C152</f>
        <v>22</v>
      </c>
      <c r="D153" s="331">
        <f t="shared" si="21"/>
        <v>20</v>
      </c>
      <c r="E153" s="331">
        <f t="shared" si="21"/>
        <v>20</v>
      </c>
      <c r="F153" s="331">
        <f t="shared" si="21"/>
        <v>20</v>
      </c>
      <c r="G153" s="331">
        <f t="shared" si="21"/>
        <v>20</v>
      </c>
      <c r="H153" s="331">
        <f t="shared" si="21"/>
        <v>20</v>
      </c>
      <c r="I153" s="331">
        <f t="shared" si="21"/>
        <v>20</v>
      </c>
      <c r="J153" s="331">
        <f t="shared" si="21"/>
        <v>20</v>
      </c>
      <c r="K153" s="331">
        <f t="shared" si="21"/>
        <v>20</v>
      </c>
      <c r="L153" s="331">
        <f t="shared" si="21"/>
        <v>20</v>
      </c>
      <c r="M153" s="331">
        <f t="shared" si="21"/>
        <v>20</v>
      </c>
      <c r="N153" s="331">
        <f t="shared" si="21"/>
        <v>20</v>
      </c>
    </row>
    <row r="154" spans="1:14" ht="12.75">
      <c r="A154" s="330" t="s">
        <v>73</v>
      </c>
      <c r="B154" s="364">
        <f>IF(C149+B152&lt;G149,MAXA(I149,G149-C149-B152),0)</f>
        <v>4</v>
      </c>
      <c r="C154" s="331">
        <f>IF(B153+C152-C151&lt;G149,MAXA(I149,G149+C151-C152-B153),0)</f>
        <v>0</v>
      </c>
      <c r="D154" s="331">
        <f>IF(C153+D152-D151&lt;G149,MAXA(I149,G149+D151-D152-C153),0)</f>
        <v>24</v>
      </c>
      <c r="E154" s="331">
        <f>IF(D153+E152-E151&lt;G149,MAXA(I149,G149+E151-E152-D153),0)</f>
        <v>21</v>
      </c>
      <c r="F154" s="331">
        <f>IF(E153+F152-F151&lt;G149,MAXA(I149,G149+F151-F152-E153),0)</f>
        <v>21</v>
      </c>
      <c r="G154" s="331">
        <f>IF(F153+G152-G151&lt;G149,MAXA(I149,G149+G151-G152-F153),0)</f>
        <v>28</v>
      </c>
      <c r="H154" s="331">
        <f>IF(G153+H152-H151&lt;G149,MAXA(I149,G149+H151-H152-G153),0)</f>
        <v>28</v>
      </c>
      <c r="I154" s="331">
        <f>IF(H153+I152-I151&lt;G149,MAXA(I149,G149+I151-I152-H153),0)</f>
        <v>23</v>
      </c>
      <c r="J154" s="331">
        <f>IF(I153+J152-J151&lt;G149,MAXA(I149,G149+J151-J152-I153),0)</f>
        <v>32</v>
      </c>
      <c r="K154" s="331">
        <f>IF(J153+K152-K151&lt;G149,MAXA(I149,G149+K151-K152-J153),0)</f>
        <v>32</v>
      </c>
      <c r="L154" s="331">
        <f>IF(K153+L152-L151&lt;G149,MAXA(I149,G149+L151-L152-K153),0)</f>
        <v>32</v>
      </c>
      <c r="M154" s="331">
        <f>IF(L153+M152-M151&lt;G149,MAXA(I149,G149+M151-M152-L153),0)</f>
        <v>32</v>
      </c>
      <c r="N154" s="331">
        <f>IF(M153+N152-N151&lt;G149,MAXA(I149,G149+N151-N152-M153),0)</f>
        <v>27</v>
      </c>
    </row>
    <row r="155" spans="1:14" ht="12.75">
      <c r="A155" s="330" t="s">
        <v>74</v>
      </c>
      <c r="B155" s="364">
        <f>ROUND(IF(K149=0,0,(IF(E149=4,SUM(B154:F154),IF(E149=1,SUM(B154:C154),0)))/K149),0)</f>
        <v>4</v>
      </c>
      <c r="C155" s="331">
        <f>ROUND(IF(K149=0,0,(IF(E149=4,G154,IF(E149=1,D154,0)))/K149),0)</f>
        <v>24</v>
      </c>
      <c r="D155" s="331">
        <f>ROUND(IF(K149=0,0,(IF(E149=4,H154,IF(E149=1,E154,0)))/K149),0)</f>
        <v>21</v>
      </c>
      <c r="E155" s="331">
        <f>ROUND(IF(K149=0,0,(IF(E149=4,I154,IF(E149=1,F154,0)))/K149),0)</f>
        <v>21</v>
      </c>
      <c r="F155" s="331">
        <f>ROUND(IF(K149=0,0,(IF(E149=4,J154,IF(E149=1,G154,0)))/K149),0)</f>
        <v>28</v>
      </c>
      <c r="G155" s="331">
        <f>ROUND(IF(K149=0,0,(IF(E149=4,K154,IF(E149=1,H154,0)))/K149),0)</f>
        <v>28</v>
      </c>
      <c r="H155" s="331">
        <f>ROUND(IF(K149=0,0,(IF(E149=4,L154,IF(E149=1,I154,0)))/K149),0)</f>
        <v>23</v>
      </c>
      <c r="I155" s="331">
        <f>ROUND(IF(K149=0,0,(IF(E149=4,M154,IF(E149=1,J154,0)))/K149),0)</f>
        <v>32</v>
      </c>
      <c r="J155" s="331">
        <f>ROUND(IF(K149=0,0,(IF(E149=4,N154,IF(E149=1,K154,0)))/K149),0)</f>
        <v>32</v>
      </c>
      <c r="K155" s="331">
        <f>ROUND(IF(K149=0,0,(IF(E149=1,L154,0))/K149),0)</f>
        <v>32</v>
      </c>
      <c r="L155" s="331">
        <f>ROUND(IF(K149=0,0,(IF(E149=1,M154,0))/K149),0)</f>
        <v>32</v>
      </c>
      <c r="M155" s="336">
        <f>ROUND(IF(K149=0,0,(IF(E149=1,N154,0))/K149),0)</f>
        <v>27</v>
      </c>
      <c r="N155" s="336"/>
    </row>
    <row r="156" ht="12.75"/>
    <row r="157" spans="2:12" ht="12.75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>
        <v>20</v>
      </c>
      <c r="H157" s="339" t="s">
        <v>67</v>
      </c>
      <c r="I157" s="119">
        <v>1</v>
      </c>
      <c r="J157" s="340" t="s">
        <v>44</v>
      </c>
      <c r="K157" s="335">
        <f>1-'Poliof40 - LIVROB'!$D$573</f>
        <v>0.99</v>
      </c>
      <c r="L157" s="114"/>
    </row>
    <row r="158" spans="1:14" ht="12.75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ht="12.75">
      <c r="A159" s="330" t="s">
        <v>70</v>
      </c>
      <c r="B159" s="336"/>
      <c r="C159" s="331">
        <f aca="true" t="shared" si="22" ref="C159:N159">C99+C106+C113</f>
        <v>48</v>
      </c>
      <c r="D159" s="331">
        <f t="shared" si="22"/>
        <v>46</v>
      </c>
      <c r="E159" s="331">
        <f t="shared" si="22"/>
        <v>37</v>
      </c>
      <c r="F159" s="331">
        <f t="shared" si="22"/>
        <v>31</v>
      </c>
      <c r="G159" s="331">
        <f t="shared" si="22"/>
        <v>59</v>
      </c>
      <c r="H159" s="331">
        <f t="shared" si="22"/>
        <v>50</v>
      </c>
      <c r="I159" s="331">
        <f t="shared" si="22"/>
        <v>52</v>
      </c>
      <c r="J159" s="331">
        <f t="shared" si="22"/>
        <v>45</v>
      </c>
      <c r="K159" s="331">
        <f t="shared" si="22"/>
        <v>69</v>
      </c>
      <c r="L159" s="331">
        <f t="shared" si="22"/>
        <v>58</v>
      </c>
      <c r="M159" s="331">
        <f t="shared" si="22"/>
        <v>53</v>
      </c>
      <c r="N159" s="331">
        <f t="shared" si="22"/>
        <v>46</v>
      </c>
    </row>
    <row r="160" spans="1:14" ht="12.75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ht="12.75">
      <c r="A161" s="330" t="s">
        <v>72</v>
      </c>
      <c r="B161" s="331">
        <f>C157+B160+B162</f>
        <v>20</v>
      </c>
      <c r="C161" s="331">
        <f aca="true" t="shared" si="23" ref="C161:N161">B161+C162-C159+C160</f>
        <v>32</v>
      </c>
      <c r="D161" s="331">
        <f t="shared" si="23"/>
        <v>20</v>
      </c>
      <c r="E161" s="331">
        <f t="shared" si="23"/>
        <v>20</v>
      </c>
      <c r="F161" s="331">
        <f t="shared" si="23"/>
        <v>20</v>
      </c>
      <c r="G161" s="331">
        <f t="shared" si="23"/>
        <v>20</v>
      </c>
      <c r="H161" s="331">
        <f t="shared" si="23"/>
        <v>20</v>
      </c>
      <c r="I161" s="331">
        <f t="shared" si="23"/>
        <v>20</v>
      </c>
      <c r="J161" s="331">
        <f t="shared" si="23"/>
        <v>20</v>
      </c>
      <c r="K161" s="331">
        <f t="shared" si="23"/>
        <v>20</v>
      </c>
      <c r="L161" s="331">
        <f t="shared" si="23"/>
        <v>20</v>
      </c>
      <c r="M161" s="331">
        <f t="shared" si="23"/>
        <v>20</v>
      </c>
      <c r="N161" s="331">
        <f t="shared" si="23"/>
        <v>20</v>
      </c>
    </row>
    <row r="162" spans="1:14" ht="12.75">
      <c r="A162" s="330" t="s">
        <v>73</v>
      </c>
      <c r="B162" s="364">
        <f>IF(C157+B160&lt;G157,MAXA(I157,G157-C157-B160),0)</f>
        <v>4</v>
      </c>
      <c r="C162" s="331">
        <f>IF(B161+C160-C159&lt;G157,MAXA(I157,G157+C159-C160-B161),0)</f>
        <v>0</v>
      </c>
      <c r="D162" s="331">
        <f>IF(C161+D160-D159&lt;G157,MAXA(I157,G157+D159-D160-C161),0)</f>
        <v>34</v>
      </c>
      <c r="E162" s="331">
        <f>IF(D161+E160-E159&lt;G157,MAXA(I157,G157+E159-E160-D161),0)</f>
        <v>37</v>
      </c>
      <c r="F162" s="331">
        <f>IF(E161+F160-F159&lt;G157,MAXA(I157,G157+F159-F160-E161),0)</f>
        <v>31</v>
      </c>
      <c r="G162" s="331">
        <f>IF(F161+G160-G159&lt;G157,MAXA(I157,G157+G159-G160-F161),0)</f>
        <v>59</v>
      </c>
      <c r="H162" s="331">
        <f>IF(G161+H160-H159&lt;G157,MAXA(I157,G157+H159-H160-G161),0)</f>
        <v>50</v>
      </c>
      <c r="I162" s="331">
        <f>IF(H161+I160-I159&lt;G157,MAXA(I157,G157+I159-I160-H161),0)</f>
        <v>52</v>
      </c>
      <c r="J162" s="331">
        <f>IF(I161+J160-J159&lt;G157,MAXA(I157,G157+J159-J160-I161),0)</f>
        <v>45</v>
      </c>
      <c r="K162" s="331">
        <f>IF(J161+K160-K159&lt;G157,MAXA(I157,G157+K159-K160-J161),0)</f>
        <v>69</v>
      </c>
      <c r="L162" s="331">
        <f>IF(K161+L160-L159&lt;G157,MAXA(I157,G157+L159-L160-K161),0)</f>
        <v>58</v>
      </c>
      <c r="M162" s="331">
        <f>IF(L161+M160-M159&lt;G157,MAXA(I157,G157+M159-M160-L161),0)</f>
        <v>53</v>
      </c>
      <c r="N162" s="331">
        <f>IF(M161+N160-N159&lt;G157,MAXA(I157,G157+N159-N160-M161),0)</f>
        <v>46</v>
      </c>
    </row>
    <row r="163" spans="1:14" ht="12.75">
      <c r="A163" s="330" t="s">
        <v>74</v>
      </c>
      <c r="B163" s="364">
        <f>ROUND(IF(K157=0,0,(IF(E157=4,SUM(B162:F162),IF(E157=1,SUM(B162:C162),0)))/K157),0)</f>
        <v>4</v>
      </c>
      <c r="C163" s="331">
        <f>ROUND(IF(K157=0,0,(IF(E157=4,G162,IF(E157=1,D162,0)))/K157),0)</f>
        <v>34</v>
      </c>
      <c r="D163" s="331">
        <f>ROUND(IF(K157=0,0,(IF(E157=4,H162,IF(E157=1,E162,0)))/K157),0)</f>
        <v>37</v>
      </c>
      <c r="E163" s="331">
        <f>ROUND(IF(K157=0,0,(IF(E157=4,I162,IF(E157=1,F162,0)))/K157),0)</f>
        <v>31</v>
      </c>
      <c r="F163" s="331">
        <f>ROUND(IF(K157=0,0,(IF(E157=4,J162,IF(E157=1,G162,0)))/K157),0)</f>
        <v>60</v>
      </c>
      <c r="G163" s="331">
        <f>ROUND(IF(K157=0,0,(IF(E157=4,K162,IF(E157=1,H162,0)))/K157),0)</f>
        <v>51</v>
      </c>
      <c r="H163" s="331">
        <f>ROUND(IF(K157=0,0,(IF(E157=4,L162,IF(E157=1,I162,0)))/K157),0)</f>
        <v>53</v>
      </c>
      <c r="I163" s="331">
        <f>ROUND(IF(K157=0,0,(IF(E157=4,M162,IF(E157=1,J162,0)))/K157),0)</f>
        <v>45</v>
      </c>
      <c r="J163" s="331">
        <f>ROUND(IF(K157=0,0,(IF(E157=4,N162,IF(E157=1,K162,0)))/K157),0)</f>
        <v>70</v>
      </c>
      <c r="K163" s="331">
        <f>ROUND(IF(K157=0,0,(IF(E157=1,L162,0))/K157),0)</f>
        <v>59</v>
      </c>
      <c r="L163" s="331">
        <f>ROUND(IF(K157=0,0,(IF(E157=1,M162,0))/K157),0)</f>
        <v>54</v>
      </c>
      <c r="M163" s="336">
        <f>ROUND(IF(K157=0,0,(IF(E157=1,N162,0))/K157),0)</f>
        <v>46</v>
      </c>
      <c r="N163" s="336"/>
    </row>
    <row r="164" ht="12.75"/>
    <row r="165" spans="2:12" ht="12.75">
      <c r="B165" s="337" t="s">
        <v>43</v>
      </c>
      <c r="C165" s="334">
        <f>'Poliof40 - LIVROB'!$F$941</f>
        <v>50</v>
      </c>
      <c r="D165" s="340" t="s">
        <v>78</v>
      </c>
      <c r="E165" s="445">
        <v>1</v>
      </c>
      <c r="F165" s="338" t="s">
        <v>66</v>
      </c>
      <c r="G165" s="119">
        <v>20</v>
      </c>
      <c r="H165" s="339" t="s">
        <v>67</v>
      </c>
      <c r="I165" s="119">
        <v>1</v>
      </c>
      <c r="J165" s="340" t="s">
        <v>44</v>
      </c>
      <c r="K165" s="335">
        <f>1-'Poliof40 - LIVROB'!$D$551</f>
        <v>0.95</v>
      </c>
      <c r="L165" s="114"/>
    </row>
    <row r="166" spans="1:14" ht="12.75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ht="12.75">
      <c r="A167" s="330" t="s">
        <v>70</v>
      </c>
      <c r="B167" s="336"/>
      <c r="C167" s="331">
        <f aca="true" t="shared" si="24" ref="C167:N167">C85+2*C92</f>
        <v>26</v>
      </c>
      <c r="D167" s="331">
        <f t="shared" si="24"/>
        <v>26</v>
      </c>
      <c r="E167" s="331">
        <f t="shared" si="24"/>
        <v>21</v>
      </c>
      <c r="F167" s="331">
        <f t="shared" si="24"/>
        <v>21</v>
      </c>
      <c r="G167" s="331">
        <f t="shared" si="24"/>
        <v>28</v>
      </c>
      <c r="H167" s="331">
        <f t="shared" si="24"/>
        <v>28</v>
      </c>
      <c r="I167" s="331">
        <f t="shared" si="24"/>
        <v>23</v>
      </c>
      <c r="J167" s="331">
        <f t="shared" si="24"/>
        <v>32</v>
      </c>
      <c r="K167" s="331">
        <f t="shared" si="24"/>
        <v>32</v>
      </c>
      <c r="L167" s="331">
        <f t="shared" si="24"/>
        <v>32</v>
      </c>
      <c r="M167" s="331">
        <f t="shared" si="24"/>
        <v>32</v>
      </c>
      <c r="N167" s="331">
        <f t="shared" si="24"/>
        <v>27</v>
      </c>
    </row>
    <row r="168" spans="1:14" ht="12.75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ht="12.75">
      <c r="A169" s="330" t="s">
        <v>72</v>
      </c>
      <c r="B169" s="331">
        <f>C165+B168+B170</f>
        <v>50</v>
      </c>
      <c r="C169" s="331">
        <f aca="true" t="shared" si="25" ref="C169:N169">B169+C170-C167+C168</f>
        <v>24</v>
      </c>
      <c r="D169" s="331">
        <f t="shared" si="25"/>
        <v>20</v>
      </c>
      <c r="E169" s="331">
        <f t="shared" si="25"/>
        <v>20</v>
      </c>
      <c r="F169" s="331">
        <f t="shared" si="25"/>
        <v>20</v>
      </c>
      <c r="G169" s="331">
        <f t="shared" si="25"/>
        <v>20</v>
      </c>
      <c r="H169" s="331">
        <f t="shared" si="25"/>
        <v>20</v>
      </c>
      <c r="I169" s="331">
        <f t="shared" si="25"/>
        <v>20</v>
      </c>
      <c r="J169" s="331">
        <f t="shared" si="25"/>
        <v>20</v>
      </c>
      <c r="K169" s="331">
        <f t="shared" si="25"/>
        <v>20</v>
      </c>
      <c r="L169" s="331">
        <f t="shared" si="25"/>
        <v>20</v>
      </c>
      <c r="M169" s="331">
        <f t="shared" si="25"/>
        <v>20</v>
      </c>
      <c r="N169" s="331">
        <f t="shared" si="25"/>
        <v>20</v>
      </c>
    </row>
    <row r="170" spans="1:14" ht="12.75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22</v>
      </c>
      <c r="E170" s="331">
        <f>IF(D169+E168-E167&lt;G165,MAXA(I165,G165+E167-E168-D169),0)</f>
        <v>21</v>
      </c>
      <c r="F170" s="331">
        <f>IF(E169+F168-F167&lt;G165,MAXA(I165,G165+F167-F168-E169),0)</f>
        <v>21</v>
      </c>
      <c r="G170" s="331">
        <f>IF(F169+G168-G167&lt;G165,MAXA(I165,G165+G167-G168-F169),0)</f>
        <v>28</v>
      </c>
      <c r="H170" s="331">
        <f>IF(G169+H168-H167&lt;G165,MAXA(I165,G165+H167-H168-G169),0)</f>
        <v>28</v>
      </c>
      <c r="I170" s="331">
        <f>IF(H169+I168-I167&lt;G165,MAXA(I165,G165+I167-I168-H169),0)</f>
        <v>23</v>
      </c>
      <c r="J170" s="331">
        <f>IF(I169+J168-J167&lt;G165,MAXA(I165,G165+J167-J168-I169),0)</f>
        <v>32</v>
      </c>
      <c r="K170" s="331">
        <f>IF(J169+K168-K167&lt;G165,MAXA(I165,G165+K167-K168-J169),0)</f>
        <v>32</v>
      </c>
      <c r="L170" s="331">
        <f>IF(K169+L168-L167&lt;G165,MAXA(I165,G165+L167-L168-K169),0)</f>
        <v>32</v>
      </c>
      <c r="M170" s="331">
        <f>IF(L169+M168-M167&lt;G165,MAXA(I165,G165+M167-M168-L169),0)</f>
        <v>32</v>
      </c>
      <c r="N170" s="331">
        <f>IF(M169+N168-N167&lt;G165,MAXA(I165,G165+N167-N168-M169),0)</f>
        <v>27</v>
      </c>
    </row>
    <row r="171" spans="1:14" ht="12.75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23</v>
      </c>
      <c r="D171" s="331">
        <f>ROUND(IF(K165=0,0,(IF(E165=1,E170,IF(E165=2,F170,IF(E165=3,G170,IF(E165=4,H170,0)))))/K165),0)</f>
        <v>22</v>
      </c>
      <c r="E171" s="331">
        <f>ROUND(IF(K165=0,0,(IF(E165=1,F170,IF(E165=2,G170,IF(E165=3,H170,IF(E165=4,I170,0)))))/K165),0)</f>
        <v>22</v>
      </c>
      <c r="F171" s="331">
        <f>ROUND(IF(K165=0,0,(IF(E165=1,G170,IF(E165=2,H170,IF(E165=3,I170,IF(E165=4,J170,0)))))/K165),0)</f>
        <v>29</v>
      </c>
      <c r="G171" s="331">
        <f>ROUND(IF(K165=0,0,(IF(E165=1,H170,IF(E165=2,I170,IF(E165=3,J170,IF(E165=4,K170,0)))))/K165),0)</f>
        <v>29</v>
      </c>
      <c r="H171" s="331">
        <f>ROUND(IF(K165=0,0,(IF(E165=1,I170,IF(E165=2,J170,IF(E165=3,K170,IF(E165=4,L170,0)))))/K165),0)</f>
        <v>24</v>
      </c>
      <c r="I171" s="331">
        <f>ROUND(IF(K165=0,0,(IF(E165=1,J170,IF(E165=2,K170,IF(E165=3,L170,IF(E165=4,M170,0)))))/K165),0)</f>
        <v>34</v>
      </c>
      <c r="J171" s="331">
        <f>ROUND(IF(K165=0,0,(IF(E165=1,K170,IF(E165=2,L170,IF(E165=3,M170,IF(E165=4,N170,0)))))/K165),0)</f>
        <v>34</v>
      </c>
      <c r="K171" s="331">
        <f>ROUND(IF(K165=0,0,(IF(E165=1,L170,IF(E165=2,M170,IF(E165=3,N170,0))))/K165),0)</f>
        <v>34</v>
      </c>
      <c r="L171" s="331">
        <f>ROUND(IF(K165=0,0,(IF(E165=1,M170,IF(E165=2,N170,0)))/K165),0)</f>
        <v>34</v>
      </c>
      <c r="M171" s="336">
        <f>ROUND(IF(K165=0,0,(IF(E165=1,N170,0))/K165),0)</f>
        <v>28</v>
      </c>
      <c r="N171" s="336"/>
    </row>
    <row r="172" ht="12.75"/>
    <row r="173" spans="2:12" ht="12.75">
      <c r="B173" s="337" t="s">
        <v>43</v>
      </c>
      <c r="C173" s="334">
        <f>'Poliof40 - LIVROB'!$G$941</f>
        <v>82</v>
      </c>
      <c r="D173" s="338" t="s">
        <v>78</v>
      </c>
      <c r="E173" s="445">
        <v>1</v>
      </c>
      <c r="F173" s="338" t="s">
        <v>66</v>
      </c>
      <c r="G173" s="119">
        <v>20</v>
      </c>
      <c r="H173" s="339" t="s">
        <v>67</v>
      </c>
      <c r="I173" s="119">
        <v>1</v>
      </c>
      <c r="J173" s="340" t="s">
        <v>44</v>
      </c>
      <c r="K173" s="335">
        <f>1-'Poliof40 - LIVROB'!$D$552</f>
        <v>0.95</v>
      </c>
      <c r="L173" s="114"/>
    </row>
    <row r="174" spans="1:14" ht="12.75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ht="12.75">
      <c r="A175" s="330" t="s">
        <v>70</v>
      </c>
      <c r="B175" s="336"/>
      <c r="C175" s="331">
        <f aca="true" t="shared" si="26" ref="C175:N175">C99+C106+C113</f>
        <v>48</v>
      </c>
      <c r="D175" s="331">
        <f t="shared" si="26"/>
        <v>46</v>
      </c>
      <c r="E175" s="331">
        <f t="shared" si="26"/>
        <v>37</v>
      </c>
      <c r="F175" s="331">
        <f t="shared" si="26"/>
        <v>31</v>
      </c>
      <c r="G175" s="331">
        <f t="shared" si="26"/>
        <v>59</v>
      </c>
      <c r="H175" s="331">
        <f t="shared" si="26"/>
        <v>50</v>
      </c>
      <c r="I175" s="331">
        <f t="shared" si="26"/>
        <v>52</v>
      </c>
      <c r="J175" s="331">
        <f t="shared" si="26"/>
        <v>45</v>
      </c>
      <c r="K175" s="331">
        <f t="shared" si="26"/>
        <v>69</v>
      </c>
      <c r="L175" s="331">
        <f t="shared" si="26"/>
        <v>58</v>
      </c>
      <c r="M175" s="331">
        <f t="shared" si="26"/>
        <v>53</v>
      </c>
      <c r="N175" s="331">
        <f t="shared" si="26"/>
        <v>46</v>
      </c>
    </row>
    <row r="176" spans="1:14" ht="12.75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ht="12.75">
      <c r="A177" s="330" t="s">
        <v>72</v>
      </c>
      <c r="B177" s="331">
        <f>C173+B176+B178</f>
        <v>82</v>
      </c>
      <c r="C177" s="331">
        <f aca="true" t="shared" si="27" ref="C177:N177">B177+C178-C175+C176</f>
        <v>34</v>
      </c>
      <c r="D177" s="331">
        <f t="shared" si="27"/>
        <v>20</v>
      </c>
      <c r="E177" s="331">
        <f t="shared" si="27"/>
        <v>20</v>
      </c>
      <c r="F177" s="331">
        <f t="shared" si="27"/>
        <v>20</v>
      </c>
      <c r="G177" s="331">
        <f t="shared" si="27"/>
        <v>20</v>
      </c>
      <c r="H177" s="331">
        <f t="shared" si="27"/>
        <v>20</v>
      </c>
      <c r="I177" s="331">
        <f t="shared" si="27"/>
        <v>20</v>
      </c>
      <c r="J177" s="331">
        <f t="shared" si="27"/>
        <v>20</v>
      </c>
      <c r="K177" s="331">
        <f t="shared" si="27"/>
        <v>20</v>
      </c>
      <c r="L177" s="331">
        <f t="shared" si="27"/>
        <v>20</v>
      </c>
      <c r="M177" s="331">
        <f t="shared" si="27"/>
        <v>20</v>
      </c>
      <c r="N177" s="331">
        <f t="shared" si="27"/>
        <v>20</v>
      </c>
    </row>
    <row r="178" spans="1:14" ht="12.75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32</v>
      </c>
      <c r="E178" s="331">
        <f>IF(D177+E176-E175&lt;G173,MAXA(I173,G173+E175-E176-D177),0)</f>
        <v>37</v>
      </c>
      <c r="F178" s="331">
        <f>IF(E177+F176-F175&lt;G173,MAXA(I173,G173+F175-F176-E177),0)</f>
        <v>31</v>
      </c>
      <c r="G178" s="331">
        <f>IF(F177+G176-G175&lt;G173,MAXA(I173,G173+G175-G176-F177),0)</f>
        <v>59</v>
      </c>
      <c r="H178" s="331">
        <f>IF(G177+H176-H175&lt;G173,MAXA(I173,G173+H175-H176-G177),0)</f>
        <v>50</v>
      </c>
      <c r="I178" s="331">
        <f>IF(H177+I176-I175&lt;G173,MAXA(I173,G173+I175-I176-H177),0)</f>
        <v>52</v>
      </c>
      <c r="J178" s="331">
        <f>IF(I177+J176-J175&lt;G173,MAXA(I173,G173+J175-J176-I177),0)</f>
        <v>45</v>
      </c>
      <c r="K178" s="331">
        <f>IF(J177+K176-K175&lt;G173,MAXA(I173,G173+K175-K176-J177),0)</f>
        <v>69</v>
      </c>
      <c r="L178" s="331">
        <f>IF(K177+L176-L175&lt;G173,MAXA(I173,G173+L175-L176-K177),0)</f>
        <v>58</v>
      </c>
      <c r="M178" s="331">
        <f>IF(L177+M176-M175&lt;G173,MAXA(I173,G173+M175-M176-L177),0)</f>
        <v>53</v>
      </c>
      <c r="N178" s="331">
        <f>IF(M177+N176-N175&lt;G173,MAXA(I173,G173+N175-N176-M177),0)</f>
        <v>46</v>
      </c>
    </row>
    <row r="179" spans="1:14" ht="12.75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34</v>
      </c>
      <c r="D179" s="331">
        <f>ROUND(IF(K173=0,0,(IF(E173=1,E178,IF(E173=2,F178,IF(E173=3,G178,IF(E173=4,H178,0)))))/K173),0)</f>
        <v>39</v>
      </c>
      <c r="E179" s="331">
        <f>ROUND(IF(K173=0,0,(IF(E173=1,F178,IF(E173=2,G178,IF(E173=3,H178,IF(E173=4,I178,0)))))/K173),0)</f>
        <v>33</v>
      </c>
      <c r="F179" s="331">
        <f>ROUND(IF(K173=0,0,(IF(E173=1,G178,IF(E173=2,H178,IF(E173=3,I178,IF(E173=4,J178,0)))))/K173),0)</f>
        <v>62</v>
      </c>
      <c r="G179" s="331">
        <f>ROUND(IF(K173=0,0,(IF(E173=1,H178,IF(E173=2,I178,IF(E173=3,J178,IF(E173=4,K178,0)))))/K173),0)</f>
        <v>53</v>
      </c>
      <c r="H179" s="331">
        <f>ROUND(IF(K173=0,0,(IF(E173=1,I178,IF(E173=2,J178,IF(E173=3,K178,IF(E173=4,L178,0)))))/K173),0)</f>
        <v>55</v>
      </c>
      <c r="I179" s="331">
        <f>ROUND(IF(K173=0,0,(IF(E173=1,J178,IF(E173=2,K178,IF(E173=3,L178,IF(E173=4,M178,0)))))/K173),0)</f>
        <v>47</v>
      </c>
      <c r="J179" s="331">
        <f>ROUND(IF(K173=0,0,(IF(E173=1,K178,IF(E173=2,L178,IF(E173=3,M178,IF(E173=4,N178,0)))))/K173),0)</f>
        <v>73</v>
      </c>
      <c r="K179" s="331">
        <f>ROUND(IF(K173=0,0,(IF(E173=1,L178,IF(E173=2,M178,IF(E173=3,N178,0))))/K173),0)</f>
        <v>61</v>
      </c>
      <c r="L179" s="331">
        <f>ROUND(IF(K173=0,0,(IF(E173=1,M178,IF(E173=2,N178,0)))/K173),0)</f>
        <v>56</v>
      </c>
      <c r="M179" s="336">
        <f>ROUND(IF(K173=0,0,(IF(E173=1,N178,0))/K173),0)</f>
        <v>48</v>
      </c>
      <c r="N179" s="336"/>
    </row>
    <row r="180" ht="12.75"/>
    <row r="181" spans="2:12" ht="12.75">
      <c r="B181" s="341" t="s">
        <v>43</v>
      </c>
      <c r="C181" s="334">
        <f>'Poliof40 - LIVROB'!$H$941</f>
        <v>36</v>
      </c>
      <c r="D181" s="330" t="s">
        <v>78</v>
      </c>
      <c r="E181" s="444">
        <v>1</v>
      </c>
      <c r="F181" s="330" t="s">
        <v>66</v>
      </c>
      <c r="G181" s="119">
        <v>20</v>
      </c>
      <c r="H181" s="342" t="s">
        <v>67</v>
      </c>
      <c r="I181" s="119">
        <v>1</v>
      </c>
      <c r="J181" s="329" t="s">
        <v>44</v>
      </c>
      <c r="K181" s="335">
        <f>1-'Poliof40 - LIVROB'!$D$554</f>
        <v>0.9</v>
      </c>
      <c r="L181" s="114"/>
    </row>
    <row r="182" spans="1:14" ht="12.75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ht="12.75">
      <c r="A183" s="330" t="s">
        <v>70</v>
      </c>
      <c r="B183" s="336"/>
      <c r="C183" s="331">
        <f aca="true" t="shared" si="28" ref="C183:N183">C85</f>
        <v>16</v>
      </c>
      <c r="D183" s="331">
        <f t="shared" si="28"/>
        <v>16</v>
      </c>
      <c r="E183" s="331">
        <f t="shared" si="28"/>
        <v>11</v>
      </c>
      <c r="F183" s="331">
        <f t="shared" si="28"/>
        <v>11</v>
      </c>
      <c r="G183" s="331">
        <f t="shared" si="28"/>
        <v>16</v>
      </c>
      <c r="H183" s="331">
        <f t="shared" si="28"/>
        <v>16</v>
      </c>
      <c r="I183" s="331">
        <f t="shared" si="28"/>
        <v>11</v>
      </c>
      <c r="J183" s="331">
        <f t="shared" si="28"/>
        <v>16</v>
      </c>
      <c r="K183" s="331">
        <f t="shared" si="28"/>
        <v>16</v>
      </c>
      <c r="L183" s="331">
        <f t="shared" si="28"/>
        <v>16</v>
      </c>
      <c r="M183" s="331">
        <f t="shared" si="28"/>
        <v>16</v>
      </c>
      <c r="N183" s="331">
        <f t="shared" si="28"/>
        <v>11</v>
      </c>
    </row>
    <row r="184" spans="1:14" ht="12.75">
      <c r="A184" s="330" t="s">
        <v>72</v>
      </c>
      <c r="B184" s="331">
        <f>C181+B185</f>
        <v>36</v>
      </c>
      <c r="C184" s="331">
        <f aca="true" t="shared" si="29" ref="C184:N184">B184+C185-C183</f>
        <v>20</v>
      </c>
      <c r="D184" s="331">
        <f t="shared" si="29"/>
        <v>20</v>
      </c>
      <c r="E184" s="331">
        <f t="shared" si="29"/>
        <v>20</v>
      </c>
      <c r="F184" s="331">
        <f t="shared" si="29"/>
        <v>20</v>
      </c>
      <c r="G184" s="331">
        <f t="shared" si="29"/>
        <v>20</v>
      </c>
      <c r="H184" s="331">
        <f t="shared" si="29"/>
        <v>20</v>
      </c>
      <c r="I184" s="331">
        <f t="shared" si="29"/>
        <v>20</v>
      </c>
      <c r="J184" s="331">
        <f t="shared" si="29"/>
        <v>20</v>
      </c>
      <c r="K184" s="331">
        <f t="shared" si="29"/>
        <v>20</v>
      </c>
      <c r="L184" s="331">
        <f t="shared" si="29"/>
        <v>20</v>
      </c>
      <c r="M184" s="331">
        <f t="shared" si="29"/>
        <v>20</v>
      </c>
      <c r="N184" s="331">
        <f t="shared" si="29"/>
        <v>20</v>
      </c>
    </row>
    <row r="185" spans="1:14" ht="12.75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16</v>
      </c>
      <c r="E185" s="331">
        <f>IF(D184-E183&lt;G181,MAXA(I181,G181+E183-D184),0)</f>
        <v>11</v>
      </c>
      <c r="F185" s="331">
        <f>IF(E184-F183&lt;G181,MAXA(I181,G181+F183-E184),0)</f>
        <v>11</v>
      </c>
      <c r="G185" s="331">
        <f>IF(F184-G183&lt;G181,MAXA(I181,G181+G183-F184),0)</f>
        <v>16</v>
      </c>
      <c r="H185" s="331">
        <f>IF(G184-H183&lt;G181,MAXA(I181,G181+H183-G184),0)</f>
        <v>16</v>
      </c>
      <c r="I185" s="331">
        <f>IF(H184-I183&lt;G181,MAXA(I181,G181+I183-H184),0)</f>
        <v>11</v>
      </c>
      <c r="J185" s="331">
        <f>IF(I184-J183&lt;G181,MAXA(I181,G181+J183-I184),0)</f>
        <v>16</v>
      </c>
      <c r="K185" s="331">
        <f>IF(J184-K183&lt;G181,MAXA(I181,G181+K183-J184),0)</f>
        <v>16</v>
      </c>
      <c r="L185" s="331">
        <f>IF(K184-L183&lt;G181,MAXA(I181,G181+L183-K184),0)</f>
        <v>16</v>
      </c>
      <c r="M185" s="331">
        <f>IF(L184-M183&lt;G181,MAXA(I181,G181+M183-L184),0)</f>
        <v>16</v>
      </c>
      <c r="N185" s="331">
        <f>IF(M184-N183&lt;G181,MAXA(I181,G181+N183-M184),0)</f>
        <v>11</v>
      </c>
    </row>
    <row r="186" spans="1:14" ht="12.75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18</v>
      </c>
      <c r="D186" s="331">
        <f>ROUND(IF(K181=0,0,(IF(E181=1,E185,IF(E181=2,F185,IF(E181=3,G185,IF(E181=4,H185,0)))))/K181),0)</f>
        <v>12</v>
      </c>
      <c r="E186" s="331">
        <f>ROUND(IF(K181=0,0,(IF(E181=1,F185,IF(E181=2,G185,IF(E181=3,H185,IF(E181=4,I185,0)))))/K181),0)</f>
        <v>12</v>
      </c>
      <c r="F186" s="331">
        <f>ROUND(IF(K181=0,0,(IF(E181=1,G185,IF(E181=2,H185,IF(E181=3,I185,IF(E181=4,J185,0)))))/K181),0)</f>
        <v>18</v>
      </c>
      <c r="G186" s="331">
        <f>ROUND(IF(K181=0,0,(IF(E181=1,H185,IF(E181=2,I185,IF(E181=3,J185,IF(E181=4,K185,0)))))/K181),0)</f>
        <v>18</v>
      </c>
      <c r="H186" s="331">
        <f>ROUND(IF(K181=0,0,(IF(E181=1,I185,IF(E181=2,J185,IF(E181=3,K185,IF(E181=4,L185,0)))))/K181),0)</f>
        <v>12</v>
      </c>
      <c r="I186" s="331">
        <f>ROUND(IF(K181=0,0,(IF(E181=1,J185,IF(E181=2,K185,IF(E181=3,L185,IF(E181=4,M185,0)))))/K181),0)</f>
        <v>18</v>
      </c>
      <c r="J186" s="331">
        <f>ROUND(IF(K181=0,0,(IF(E181=1,K185,IF(E181=2,L185,IF(E181=3,M185,IF(E181=4,N185,0)))))/K181),0)</f>
        <v>18</v>
      </c>
      <c r="K186" s="331">
        <f>ROUND(IF(K181=0,0,(IF(E181=1,L185,IF(E181=2,M185,IF(E181=3,N185,0))))/K181),0)</f>
        <v>18</v>
      </c>
      <c r="L186" s="331">
        <f>ROUND(IF(K181=0,0,(IF(E181=1,M185,IF(E181=2,N185,0)))/K181),0)</f>
        <v>18</v>
      </c>
      <c r="M186" s="331">
        <f>ROUND(IF(K181=0,0,(IF(E181=1,N185,0))/K181),0)</f>
        <v>12</v>
      </c>
      <c r="N186" s="336"/>
    </row>
    <row r="187" ht="12.75"/>
    <row r="188" spans="2:12" ht="12.75">
      <c r="B188" s="341" t="s">
        <v>43</v>
      </c>
      <c r="C188" s="334">
        <f>'Poliof40 - LIVROB'!$I$941</f>
        <v>22</v>
      </c>
      <c r="D188" s="330" t="s">
        <v>78</v>
      </c>
      <c r="E188" s="444">
        <v>1</v>
      </c>
      <c r="F188" s="330" t="s">
        <v>66</v>
      </c>
      <c r="G188" s="119">
        <v>10</v>
      </c>
      <c r="H188" s="342" t="s">
        <v>67</v>
      </c>
      <c r="I188" s="119">
        <v>1</v>
      </c>
      <c r="J188" s="329" t="s">
        <v>44</v>
      </c>
      <c r="K188" s="335">
        <f>1-'Poliof40 - LIVROB'!$D$555</f>
        <v>0.9</v>
      </c>
      <c r="L188" s="114"/>
    </row>
    <row r="189" spans="1:14" ht="12.75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ht="12.75">
      <c r="A190" s="330" t="s">
        <v>70</v>
      </c>
      <c r="B190" s="336"/>
      <c r="C190" s="331">
        <f aca="true" t="shared" si="30" ref="C190:N190">2*C92</f>
        <v>10</v>
      </c>
      <c r="D190" s="331">
        <f t="shared" si="30"/>
        <v>10</v>
      </c>
      <c r="E190" s="331">
        <f t="shared" si="30"/>
        <v>10</v>
      </c>
      <c r="F190" s="331">
        <f t="shared" si="30"/>
        <v>10</v>
      </c>
      <c r="G190" s="331">
        <f t="shared" si="30"/>
        <v>12</v>
      </c>
      <c r="H190" s="331">
        <f t="shared" si="30"/>
        <v>12</v>
      </c>
      <c r="I190" s="331">
        <f t="shared" si="30"/>
        <v>12</v>
      </c>
      <c r="J190" s="331">
        <f t="shared" si="30"/>
        <v>16</v>
      </c>
      <c r="K190" s="331">
        <f t="shared" si="30"/>
        <v>16</v>
      </c>
      <c r="L190" s="331">
        <f t="shared" si="30"/>
        <v>16</v>
      </c>
      <c r="M190" s="331">
        <f t="shared" si="30"/>
        <v>16</v>
      </c>
      <c r="N190" s="331">
        <f t="shared" si="30"/>
        <v>16</v>
      </c>
    </row>
    <row r="191" spans="1:14" ht="12.75">
      <c r="A191" s="330" t="s">
        <v>72</v>
      </c>
      <c r="B191" s="331">
        <f>C188+B192</f>
        <v>22</v>
      </c>
      <c r="C191" s="331">
        <f aca="true" t="shared" si="31" ref="C191:N191">B191+C192-C190</f>
        <v>12</v>
      </c>
      <c r="D191" s="331">
        <f t="shared" si="31"/>
        <v>10</v>
      </c>
      <c r="E191" s="331">
        <f t="shared" si="31"/>
        <v>10</v>
      </c>
      <c r="F191" s="331">
        <f t="shared" si="31"/>
        <v>10</v>
      </c>
      <c r="G191" s="331">
        <f t="shared" si="31"/>
        <v>10</v>
      </c>
      <c r="H191" s="331">
        <f t="shared" si="31"/>
        <v>10</v>
      </c>
      <c r="I191" s="331">
        <f t="shared" si="31"/>
        <v>10</v>
      </c>
      <c r="J191" s="331">
        <f t="shared" si="31"/>
        <v>10</v>
      </c>
      <c r="K191" s="331">
        <f t="shared" si="31"/>
        <v>10</v>
      </c>
      <c r="L191" s="331">
        <f t="shared" si="31"/>
        <v>10</v>
      </c>
      <c r="M191" s="331">
        <f t="shared" si="31"/>
        <v>10</v>
      </c>
      <c r="N191" s="331">
        <f t="shared" si="31"/>
        <v>10</v>
      </c>
    </row>
    <row r="192" spans="1:14" ht="12.75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8</v>
      </c>
      <c r="E192" s="331">
        <f>IF(D191-E190&lt;G188,MAXA(I188,G188+E190-D191),0)</f>
        <v>10</v>
      </c>
      <c r="F192" s="331">
        <f>IF(E191-F190&lt;G188,MAXA(I188,G188+F190-E191),0)</f>
        <v>10</v>
      </c>
      <c r="G192" s="331">
        <f>IF(F191-G190&lt;G188,MAXA(I188,G188+G190-F191),0)</f>
        <v>12</v>
      </c>
      <c r="H192" s="331">
        <f>IF(G191-H190&lt;G188,MAXA(I188,G188+H190-G191),0)</f>
        <v>12</v>
      </c>
      <c r="I192" s="331">
        <f>IF(H191-I190&lt;G188,MAXA(I188,G188+I190-H191),0)</f>
        <v>12</v>
      </c>
      <c r="J192" s="331">
        <f>IF(I191-J190&lt;G188,MAXA(I188,G188+J190-I191),0)</f>
        <v>16</v>
      </c>
      <c r="K192" s="331">
        <f>IF(J191-K190&lt;G188,MAXA(I188,G188+K190-J191),0)</f>
        <v>16</v>
      </c>
      <c r="L192" s="331">
        <f>IF(K191-L190&lt;G188,MAXA(I188,G188+L190-K191),0)</f>
        <v>16</v>
      </c>
      <c r="M192" s="331">
        <f>IF(L191-M190&lt;G188,MAXA(I188,G188+M190-L191),0)</f>
        <v>16</v>
      </c>
      <c r="N192" s="331">
        <f>IF(M191-N190&lt;G188,MAXA(I188,G188+N190-M191),0)</f>
        <v>16</v>
      </c>
    </row>
    <row r="193" spans="1:14" ht="12.75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9</v>
      </c>
      <c r="D193" s="331">
        <f>ROUND(IF(K188=0,0,(IF(E188=1,E192,IF(E188=2,F192,IF(E188=3,G192,IF(E188=4,H192,0)))))/K188),0)</f>
        <v>11</v>
      </c>
      <c r="E193" s="331">
        <f>ROUND(IF(K188=0,0,(IF(E188=1,F192,IF(E188=2,G192,IF(E188=3,H192,IF(E188=4,I192,0)))))/K188),0)</f>
        <v>11</v>
      </c>
      <c r="F193" s="331">
        <f>ROUND(IF(K188=0,0,(IF(E188=1,G192,IF(E188=2,H192,IF(E188=3,I192,IF(E188=4,J192,0)))))/K188),0)</f>
        <v>13</v>
      </c>
      <c r="G193" s="331">
        <f>ROUND(IF(K188=0,0,(IF(E188=1,H192,IF(E188=2,I192,IF(E188=3,J192,IF(E188=4,K192,0)))))/K188),0)</f>
        <v>13</v>
      </c>
      <c r="H193" s="331">
        <f>ROUND(IF(K188=0,0,(IF(E188=1,I192,IF(E188=2,J192,IF(E188=3,K192,IF(E188=4,L192,0)))))/K188),0)</f>
        <v>13</v>
      </c>
      <c r="I193" s="331">
        <f>ROUND(IF(K188=0,0,(IF(E188=1,J192,IF(E188=2,K192,IF(E188=3,L192,IF(E188=4,M192,0)))))/K188),0)</f>
        <v>18</v>
      </c>
      <c r="J193" s="331">
        <f>ROUND(IF(K188=0,0,(IF(E188=1,K192,IF(E188=2,L192,IF(E188=3,M192,IF(E188=4,N192,0)))))/K188),0)</f>
        <v>18</v>
      </c>
      <c r="K193" s="331">
        <f>ROUND(IF(K188=0,0,(IF(E188=1,L192,IF(E188=2,M192,IF(E188=3,N192,0))))/K188),0)</f>
        <v>18</v>
      </c>
      <c r="L193" s="331">
        <f>ROUND(IF(K188=0,0,(IF(E188=1,M192,IF(E188=2,N192,0)))/K188),0)</f>
        <v>18</v>
      </c>
      <c r="M193" s="331">
        <f>ROUND(IF(K188=0,0,(IF(E188=1,N192,0))/K188),0)</f>
        <v>18</v>
      </c>
      <c r="N193" s="336"/>
    </row>
    <row r="194" ht="12.75"/>
    <row r="195" spans="2:12" ht="12.75">
      <c r="B195" s="341" t="s">
        <v>43</v>
      </c>
      <c r="C195" s="334">
        <f>'Poliof40 - LIVROB'!$J$941</f>
        <v>37</v>
      </c>
      <c r="D195" s="330" t="s">
        <v>78</v>
      </c>
      <c r="E195" s="444">
        <v>1</v>
      </c>
      <c r="F195" s="330" t="s">
        <v>66</v>
      </c>
      <c r="G195" s="119">
        <v>10</v>
      </c>
      <c r="H195" s="342" t="s">
        <v>67</v>
      </c>
      <c r="I195" s="119">
        <v>1</v>
      </c>
      <c r="J195" s="329" t="s">
        <v>44</v>
      </c>
      <c r="K195" s="335">
        <f>1-'Poliof40 - LIVROB'!$D$556</f>
        <v>0.9</v>
      </c>
      <c r="L195" s="114"/>
    </row>
    <row r="196" spans="1:14" ht="12.75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ht="12.75">
      <c r="A197" s="330" t="s">
        <v>70</v>
      </c>
      <c r="B197" s="336"/>
      <c r="C197" s="331">
        <f aca="true" t="shared" si="32" ref="C197:N197">C99</f>
        <v>22</v>
      </c>
      <c r="D197" s="331">
        <f t="shared" si="32"/>
        <v>20</v>
      </c>
      <c r="E197" s="331">
        <f t="shared" si="32"/>
        <v>11</v>
      </c>
      <c r="F197" s="331">
        <f t="shared" si="32"/>
        <v>5</v>
      </c>
      <c r="G197" s="331">
        <f t="shared" si="32"/>
        <v>27</v>
      </c>
      <c r="H197" s="331">
        <f t="shared" si="32"/>
        <v>17</v>
      </c>
      <c r="I197" s="331">
        <f t="shared" si="32"/>
        <v>12</v>
      </c>
      <c r="J197" s="331">
        <f t="shared" si="32"/>
        <v>5</v>
      </c>
      <c r="K197" s="331">
        <f t="shared" si="32"/>
        <v>29</v>
      </c>
      <c r="L197" s="331">
        <f t="shared" si="32"/>
        <v>18</v>
      </c>
      <c r="M197" s="331">
        <f t="shared" si="32"/>
        <v>13</v>
      </c>
      <c r="N197" s="331">
        <f t="shared" si="32"/>
        <v>6</v>
      </c>
    </row>
    <row r="198" spans="1:14" ht="12.75">
      <c r="A198" s="330" t="s">
        <v>72</v>
      </c>
      <c r="B198" s="331">
        <f>C195+B199</f>
        <v>37</v>
      </c>
      <c r="C198" s="331">
        <f aca="true" t="shared" si="33" ref="C198:N198">B198+C199-C197</f>
        <v>15</v>
      </c>
      <c r="D198" s="331">
        <f t="shared" si="33"/>
        <v>10</v>
      </c>
      <c r="E198" s="331">
        <f t="shared" si="33"/>
        <v>10</v>
      </c>
      <c r="F198" s="331">
        <f t="shared" si="33"/>
        <v>10</v>
      </c>
      <c r="G198" s="331">
        <f t="shared" si="33"/>
        <v>10</v>
      </c>
      <c r="H198" s="331">
        <f t="shared" si="33"/>
        <v>10</v>
      </c>
      <c r="I198" s="331">
        <f t="shared" si="33"/>
        <v>10</v>
      </c>
      <c r="J198" s="331">
        <f t="shared" si="33"/>
        <v>10</v>
      </c>
      <c r="K198" s="331">
        <f t="shared" si="33"/>
        <v>10</v>
      </c>
      <c r="L198" s="331">
        <f t="shared" si="33"/>
        <v>10</v>
      </c>
      <c r="M198" s="331">
        <f t="shared" si="33"/>
        <v>10</v>
      </c>
      <c r="N198" s="331">
        <f t="shared" si="33"/>
        <v>10</v>
      </c>
    </row>
    <row r="199" spans="1:14" ht="12.75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15</v>
      </c>
      <c r="E199" s="331">
        <f>IF(D198-E197&lt;G195,MAXA(I195,G195+E197-D198),0)</f>
        <v>11</v>
      </c>
      <c r="F199" s="331">
        <f>IF(E198-F197&lt;G195,MAXA(I195,G195+F197-E198),0)</f>
        <v>5</v>
      </c>
      <c r="G199" s="331">
        <f>IF(F198-G197&lt;G195,MAXA(I195,G195+G197-F198),0)</f>
        <v>27</v>
      </c>
      <c r="H199" s="331">
        <f>IF(G198-H197&lt;G195,MAXA(I195,G195+H197-G198),0)</f>
        <v>17</v>
      </c>
      <c r="I199" s="331">
        <f>IF(H198-I197&lt;G195,MAXA(I195,G195+I197-H198),0)</f>
        <v>12</v>
      </c>
      <c r="J199" s="331">
        <f>IF(I198-J197&lt;G195,MAXA(I195,G195+J197-I198),0)</f>
        <v>5</v>
      </c>
      <c r="K199" s="331">
        <f>IF(J198-K197&lt;G195,MAXA(I195,G195+K197-J198),0)</f>
        <v>29</v>
      </c>
      <c r="L199" s="331">
        <f>IF(K198-L197&lt;G195,MAXA(I195,G195+L197-K198),0)</f>
        <v>18</v>
      </c>
      <c r="M199" s="331">
        <f>IF(L198-M197&lt;G195,MAXA(I195,G195+M197-L198),0)</f>
        <v>13</v>
      </c>
      <c r="N199" s="331">
        <f>IF(M198-N197&lt;G195,MAXA(I195,G195+N197-M198),0)</f>
        <v>6</v>
      </c>
    </row>
    <row r="200" spans="1:14" ht="12.75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17</v>
      </c>
      <c r="D200" s="331">
        <f>ROUND(IF(K195=0,0,(IF(E195=1,E199,IF(E195=2,F199,IF(E195=3,G199,IF(E195=4,H199,0)))))/K195),0)</f>
        <v>12</v>
      </c>
      <c r="E200" s="331">
        <f>ROUND(IF(K195=0,0,(IF(E195=1,F199,IF(E195=2,G199,IF(E195=3,H199,IF(E195=4,I199,0)))))/K195),0)</f>
        <v>6</v>
      </c>
      <c r="F200" s="331">
        <f>ROUND(IF(K195=0,0,(IF(E195=1,G199,IF(E195=2,H199,IF(E195=3,I199,IF(E195=4,J199,0)))))/K195),0)</f>
        <v>30</v>
      </c>
      <c r="G200" s="331">
        <f>ROUND(IF(K195=0,0,(IF(E195=1,H199,IF(E195=2,I199,IF(E195=3,J199,IF(E195=4,K199,0)))))/K195),0)</f>
        <v>19</v>
      </c>
      <c r="H200" s="331">
        <f>ROUND(IF(K195=0,0,(IF(E195=1,I199,IF(E195=2,J199,IF(E195=3,K199,IF(E195=4,L199,0)))))/K195),0)</f>
        <v>13</v>
      </c>
      <c r="I200" s="331">
        <f>ROUND(IF(K195=0,0,(IF(E195=1,J199,IF(E195=2,K199,IF(E195=3,L199,IF(E195=4,M199,0)))))/K195),0)</f>
        <v>6</v>
      </c>
      <c r="J200" s="331">
        <f>ROUND(IF(K195=0,0,(IF(E195=1,K199,IF(E195=2,L199,IF(E195=3,M199,IF(E195=4,N199,0)))))/K195),0)</f>
        <v>32</v>
      </c>
      <c r="K200" s="331">
        <f>ROUND(IF(K195=0,0,(IF(E195=1,L199,IF(E195=2,M199,IF(E195=3,N199,0))))/K195),0)</f>
        <v>20</v>
      </c>
      <c r="L200" s="331">
        <f>ROUND(IF(K195=0,0,(IF(E195=1,M199,IF(E195=2,N199,0)))/K195),0)</f>
        <v>14</v>
      </c>
      <c r="M200" s="331">
        <f>ROUND(IF(K195=0,0,(IF(E195=1,N199,0))/K195),0)</f>
        <v>7</v>
      </c>
      <c r="N200" s="336"/>
    </row>
    <row r="201" ht="12.75"/>
    <row r="202" spans="2:13" ht="12.75">
      <c r="B202" s="341" t="s">
        <v>43</v>
      </c>
      <c r="C202" s="334">
        <f>'Poliof40 - LIVROB'!$K$941</f>
        <v>35</v>
      </c>
      <c r="D202" s="330" t="s">
        <v>78</v>
      </c>
      <c r="E202" s="444">
        <v>1</v>
      </c>
      <c r="F202" s="330" t="s">
        <v>66</v>
      </c>
      <c r="G202" s="119">
        <v>15</v>
      </c>
      <c r="H202" s="342" t="s">
        <v>67</v>
      </c>
      <c r="I202" s="119">
        <v>1</v>
      </c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ht="12.75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ht="12.75">
      <c r="A204" s="330" t="s">
        <v>70</v>
      </c>
      <c r="B204" s="336"/>
      <c r="C204" s="331">
        <f aca="true" t="shared" si="34" ref="C204:N204">2*C106</f>
        <v>20</v>
      </c>
      <c r="D204" s="331">
        <f t="shared" si="34"/>
        <v>20</v>
      </c>
      <c r="E204" s="331">
        <f t="shared" si="34"/>
        <v>20</v>
      </c>
      <c r="F204" s="331">
        <f t="shared" si="34"/>
        <v>20</v>
      </c>
      <c r="G204" s="331">
        <f t="shared" si="34"/>
        <v>20</v>
      </c>
      <c r="H204" s="331">
        <f t="shared" si="34"/>
        <v>22</v>
      </c>
      <c r="I204" s="331">
        <f t="shared" si="34"/>
        <v>36</v>
      </c>
      <c r="J204" s="331">
        <f t="shared" si="34"/>
        <v>36</v>
      </c>
      <c r="K204" s="331">
        <f t="shared" si="34"/>
        <v>36</v>
      </c>
      <c r="L204" s="331">
        <f t="shared" si="34"/>
        <v>36</v>
      </c>
      <c r="M204" s="331">
        <f t="shared" si="34"/>
        <v>36</v>
      </c>
      <c r="N204" s="331">
        <f t="shared" si="34"/>
        <v>36</v>
      </c>
    </row>
    <row r="205" spans="1:14" ht="12.75">
      <c r="A205" s="330" t="s">
        <v>72</v>
      </c>
      <c r="B205" s="331">
        <f>C202+B206</f>
        <v>35</v>
      </c>
      <c r="C205" s="331">
        <f aca="true" t="shared" si="35" ref="C205:N205">B205+C206-C204</f>
        <v>15</v>
      </c>
      <c r="D205" s="331">
        <f t="shared" si="35"/>
        <v>15</v>
      </c>
      <c r="E205" s="331">
        <f t="shared" si="35"/>
        <v>15</v>
      </c>
      <c r="F205" s="331">
        <f t="shared" si="35"/>
        <v>15</v>
      </c>
      <c r="G205" s="331">
        <f t="shared" si="35"/>
        <v>15</v>
      </c>
      <c r="H205" s="331">
        <f t="shared" si="35"/>
        <v>15</v>
      </c>
      <c r="I205" s="331">
        <f t="shared" si="35"/>
        <v>15</v>
      </c>
      <c r="J205" s="331">
        <f t="shared" si="35"/>
        <v>15</v>
      </c>
      <c r="K205" s="331">
        <f t="shared" si="35"/>
        <v>15</v>
      </c>
      <c r="L205" s="331">
        <f t="shared" si="35"/>
        <v>15</v>
      </c>
      <c r="M205" s="331">
        <f t="shared" si="35"/>
        <v>15</v>
      </c>
      <c r="N205" s="331">
        <f t="shared" si="35"/>
        <v>15</v>
      </c>
    </row>
    <row r="206" spans="1:14" ht="12.75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20</v>
      </c>
      <c r="E206" s="331">
        <f>IF(D205-E204&lt;G202,MAXA(I202,G202+E204-D205),0)</f>
        <v>20</v>
      </c>
      <c r="F206" s="331">
        <f>IF(E205-F204&lt;G202,MAXA(I202,G202+F204-E205),0)</f>
        <v>20</v>
      </c>
      <c r="G206" s="331">
        <f>IF(F205-G204&lt;G202,MAXA(I202,G202+G204-F205),0)</f>
        <v>20</v>
      </c>
      <c r="H206" s="331">
        <f>IF(G205-H204&lt;G202,MAXA(I202,G202+H204-G205),0)</f>
        <v>22</v>
      </c>
      <c r="I206" s="331">
        <f>IF(H205-I204&lt;G202,MAXA(I202,G202+I204-H205),0)</f>
        <v>36</v>
      </c>
      <c r="J206" s="331">
        <f>IF(I205-J204&lt;G202,MAXA(I202,G202+J204-I205),0)</f>
        <v>36</v>
      </c>
      <c r="K206" s="331">
        <f>IF(J205-K204&lt;G202,MAXA(I202,G202+K204-J205),0)</f>
        <v>36</v>
      </c>
      <c r="L206" s="331">
        <f>IF(K205-L204&lt;G202,MAXA(I202,G202+L204-K205),0)</f>
        <v>36</v>
      </c>
      <c r="M206" s="331">
        <f>IF(L205-M204&lt;G202,MAXA(I202,G202+M204-L205),0)</f>
        <v>36</v>
      </c>
      <c r="N206" s="331">
        <f>IF(M205-N204&lt;G202,MAXA(I202,G202+N204-M205),0)</f>
        <v>36</v>
      </c>
    </row>
    <row r="207" spans="1:14" ht="12.75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aca="true" t="shared" si="36" ref="C207:J207">ROUND(IF($K202=0,0,(IF($E202=1,D206,IF($E202=2,E206,IF($E202=3,F206,IF($E202=4,G206,0)))))/$K202),0)</f>
        <v>22</v>
      </c>
      <c r="D207" s="331">
        <f t="shared" si="36"/>
        <v>22</v>
      </c>
      <c r="E207" s="331">
        <f t="shared" si="36"/>
        <v>22</v>
      </c>
      <c r="F207" s="331">
        <f t="shared" si="36"/>
        <v>22</v>
      </c>
      <c r="G207" s="331">
        <f t="shared" si="36"/>
        <v>24</v>
      </c>
      <c r="H207" s="331">
        <f t="shared" si="36"/>
        <v>40</v>
      </c>
      <c r="I207" s="331">
        <f t="shared" si="36"/>
        <v>40</v>
      </c>
      <c r="J207" s="331">
        <f t="shared" si="36"/>
        <v>40</v>
      </c>
      <c r="K207" s="331">
        <f>IF($K202=0,0,IF($E202=1,L206/$K202,IF($E202=2,M206/$K202,IF($E202=3,N206/$K202,0))))</f>
        <v>40</v>
      </c>
      <c r="L207" s="331">
        <f>IF($K202=0,0,IF($E202=1,M206/$K202,IF($E202=2,N206/$K202,0)))</f>
        <v>40</v>
      </c>
      <c r="M207" s="331">
        <f>IF($K202=0,0,IF($E202=1,N206/$K202,0))</f>
        <v>40</v>
      </c>
      <c r="N207" s="336"/>
    </row>
    <row r="208" ht="12.75"/>
    <row r="209" spans="2:12" ht="12.75">
      <c r="B209" s="341" t="s">
        <v>43</v>
      </c>
      <c r="C209" s="334">
        <f>'Poliof40 - LIVROB'!$L$941</f>
        <v>31</v>
      </c>
      <c r="D209" s="330" t="s">
        <v>78</v>
      </c>
      <c r="E209" s="444">
        <v>1</v>
      </c>
      <c r="F209" s="330" t="s">
        <v>66</v>
      </c>
      <c r="G209" s="119">
        <v>10</v>
      </c>
      <c r="H209" s="342" t="s">
        <v>67</v>
      </c>
      <c r="I209" s="119">
        <v>1</v>
      </c>
      <c r="J209" s="329" t="s">
        <v>44</v>
      </c>
      <c r="K209" s="335">
        <f>1-'Poliof40 - LIVROB'!$D$558</f>
        <v>0.9</v>
      </c>
      <c r="L209" s="114"/>
    </row>
    <row r="210" spans="1:14" ht="12.75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ht="12.75">
      <c r="A211" s="330" t="s">
        <v>70</v>
      </c>
      <c r="B211" s="336"/>
      <c r="C211" s="331">
        <f aca="true" t="shared" si="37" ref="C211:N211">C113</f>
        <v>16</v>
      </c>
      <c r="D211" s="331">
        <f t="shared" si="37"/>
        <v>16</v>
      </c>
      <c r="E211" s="331">
        <f t="shared" si="37"/>
        <v>16</v>
      </c>
      <c r="F211" s="331">
        <f t="shared" si="37"/>
        <v>16</v>
      </c>
      <c r="G211" s="331">
        <f t="shared" si="37"/>
        <v>22</v>
      </c>
      <c r="H211" s="331">
        <f t="shared" si="37"/>
        <v>22</v>
      </c>
      <c r="I211" s="331">
        <f t="shared" si="37"/>
        <v>22</v>
      </c>
      <c r="J211" s="331">
        <f t="shared" si="37"/>
        <v>22</v>
      </c>
      <c r="K211" s="331">
        <f t="shared" si="37"/>
        <v>22</v>
      </c>
      <c r="L211" s="331">
        <f t="shared" si="37"/>
        <v>22</v>
      </c>
      <c r="M211" s="331">
        <f t="shared" si="37"/>
        <v>22</v>
      </c>
      <c r="N211" s="331">
        <f t="shared" si="37"/>
        <v>22</v>
      </c>
    </row>
    <row r="212" spans="1:14" ht="12.75">
      <c r="A212" s="330" t="s">
        <v>72</v>
      </c>
      <c r="B212" s="331">
        <f>C209+B213</f>
        <v>31</v>
      </c>
      <c r="C212" s="331">
        <f aca="true" t="shared" si="38" ref="C212:N212">B212+C213-C211</f>
        <v>15</v>
      </c>
      <c r="D212" s="331">
        <f t="shared" si="38"/>
        <v>10</v>
      </c>
      <c r="E212" s="331">
        <f t="shared" si="38"/>
        <v>10</v>
      </c>
      <c r="F212" s="331">
        <f t="shared" si="38"/>
        <v>10</v>
      </c>
      <c r="G212" s="331">
        <f t="shared" si="38"/>
        <v>10</v>
      </c>
      <c r="H212" s="331">
        <f t="shared" si="38"/>
        <v>10</v>
      </c>
      <c r="I212" s="331">
        <f t="shared" si="38"/>
        <v>10</v>
      </c>
      <c r="J212" s="331">
        <f t="shared" si="38"/>
        <v>10</v>
      </c>
      <c r="K212" s="331">
        <f t="shared" si="38"/>
        <v>10</v>
      </c>
      <c r="L212" s="331">
        <f t="shared" si="38"/>
        <v>10</v>
      </c>
      <c r="M212" s="331">
        <f t="shared" si="38"/>
        <v>10</v>
      </c>
      <c r="N212" s="331">
        <f t="shared" si="38"/>
        <v>10</v>
      </c>
    </row>
    <row r="213" spans="1:14" ht="12.75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11</v>
      </c>
      <c r="E213" s="331">
        <f>IF(D212-E211&lt;G209,MAXA(I209,G209+E211-D212),0)</f>
        <v>16</v>
      </c>
      <c r="F213" s="331">
        <f>IF(E212-F211&lt;G209,MAXA(I209,G209+F211-E212),0)</f>
        <v>16</v>
      </c>
      <c r="G213" s="331">
        <f>IF(F212-G211&lt;G209,MAXA(I209,G209+G211-F212),0)</f>
        <v>22</v>
      </c>
      <c r="H213" s="331">
        <f>IF(G212-H211&lt;G209,MAXA(I209,G209+H211-G212),0)</f>
        <v>22</v>
      </c>
      <c r="I213" s="331">
        <f>IF(H212-I211&lt;G209,MAXA(I209,G209+I211-H212),0)</f>
        <v>22</v>
      </c>
      <c r="J213" s="331">
        <f>IF(I212-J211&lt;G209,MAXA(I209,G209+J211-I212),0)</f>
        <v>22</v>
      </c>
      <c r="K213" s="331">
        <f>IF(J212-K211&lt;G209,MAXA(I209,G209+K211-J212),0)</f>
        <v>22</v>
      </c>
      <c r="L213" s="331">
        <f>IF(K212-L211&lt;G209,MAXA(I209,G209+L211-K212),0)</f>
        <v>22</v>
      </c>
      <c r="M213" s="331">
        <f>IF(L212-M211&lt;G209,MAXA(I209,G209+M211-L212),0)</f>
        <v>22</v>
      </c>
      <c r="N213" s="331">
        <f>IF(M212-N211&lt;G209,MAXA(I209,G209+N211-M212),0)</f>
        <v>22</v>
      </c>
    </row>
    <row r="214" spans="1:14" ht="12.75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aca="true" t="shared" si="39" ref="C214:J214">ROUND(IF($K209=0,0,(IF($E209=1,D213,IF($E209=2,E213,IF($E209=3,F213,IF($E209=4,G213,0)))))/$K209),0)</f>
        <v>12</v>
      </c>
      <c r="D214" s="331">
        <f t="shared" si="39"/>
        <v>18</v>
      </c>
      <c r="E214" s="331">
        <f t="shared" si="39"/>
        <v>18</v>
      </c>
      <c r="F214" s="331">
        <f t="shared" si="39"/>
        <v>24</v>
      </c>
      <c r="G214" s="331">
        <f t="shared" si="39"/>
        <v>24</v>
      </c>
      <c r="H214" s="331">
        <f t="shared" si="39"/>
        <v>24</v>
      </c>
      <c r="I214" s="331">
        <f t="shared" si="39"/>
        <v>24</v>
      </c>
      <c r="J214" s="331">
        <f t="shared" si="39"/>
        <v>24</v>
      </c>
      <c r="K214" s="331">
        <f>ROUND(IF($K209=0,0,IF($E209=1,L213,IF($E209=2,M213,IF($E209=3,N213,0))))/$K209,0)</f>
        <v>24</v>
      </c>
      <c r="L214" s="331">
        <f>ROUND(IF($K209=0,0,IF($E209=1,M213,IF($E209=2,N213,0)))/$K209,0)</f>
        <v>24</v>
      </c>
      <c r="M214" s="331">
        <f>ROUND(IF($K209=0,0,IF($E209=1,N213,0))/$K209,0)</f>
        <v>24</v>
      </c>
      <c r="N214" s="336"/>
    </row>
    <row r="215" ht="12.75"/>
    <row r="216" spans="2:12" ht="12.75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>
        <v>20</v>
      </c>
      <c r="H216" s="342" t="s">
        <v>67</v>
      </c>
      <c r="I216" s="119">
        <v>1</v>
      </c>
      <c r="J216" s="329" t="s">
        <v>44</v>
      </c>
      <c r="K216" s="335">
        <f>1-'Poliof40 - LIVROB'!$D$575</f>
        <v>0.99</v>
      </c>
      <c r="L216" s="114"/>
    </row>
    <row r="217" spans="1:14" ht="12.75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ht="12.75">
      <c r="A218" s="330" t="s">
        <v>70</v>
      </c>
      <c r="B218" s="331">
        <f aca="true" t="shared" si="40" ref="B218:N218">B171</f>
        <v>0</v>
      </c>
      <c r="C218" s="331">
        <f t="shared" si="40"/>
        <v>23</v>
      </c>
      <c r="D218" s="331">
        <f t="shared" si="40"/>
        <v>22</v>
      </c>
      <c r="E218" s="331">
        <f t="shared" si="40"/>
        <v>22</v>
      </c>
      <c r="F218" s="331">
        <f t="shared" si="40"/>
        <v>29</v>
      </c>
      <c r="G218" s="331">
        <f t="shared" si="40"/>
        <v>29</v>
      </c>
      <c r="H218" s="331">
        <f t="shared" si="40"/>
        <v>24</v>
      </c>
      <c r="I218" s="331">
        <f t="shared" si="40"/>
        <v>34</v>
      </c>
      <c r="J218" s="331">
        <f t="shared" si="40"/>
        <v>34</v>
      </c>
      <c r="K218" s="331">
        <f t="shared" si="40"/>
        <v>34</v>
      </c>
      <c r="L218" s="331">
        <f t="shared" si="40"/>
        <v>34</v>
      </c>
      <c r="M218" s="331">
        <f t="shared" si="40"/>
        <v>28</v>
      </c>
      <c r="N218" s="331">
        <f t="shared" si="40"/>
        <v>0</v>
      </c>
    </row>
    <row r="219" spans="1:14" ht="12.75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ht="12.75">
      <c r="A220" s="330" t="s">
        <v>72</v>
      </c>
      <c r="B220" s="331">
        <f>C216+B219+B221-B218</f>
        <v>20</v>
      </c>
      <c r="C220" s="331">
        <f aca="true" t="shared" si="41" ref="C220:N220">B220+C221-C218+C219</f>
        <v>26</v>
      </c>
      <c r="D220" s="331">
        <f t="shared" si="41"/>
        <v>20</v>
      </c>
      <c r="E220" s="331">
        <f t="shared" si="41"/>
        <v>20</v>
      </c>
      <c r="F220" s="331">
        <f t="shared" si="41"/>
        <v>20</v>
      </c>
      <c r="G220" s="331">
        <f t="shared" si="41"/>
        <v>20</v>
      </c>
      <c r="H220" s="331">
        <f t="shared" si="41"/>
        <v>20</v>
      </c>
      <c r="I220" s="331">
        <f t="shared" si="41"/>
        <v>20</v>
      </c>
      <c r="J220" s="331">
        <f t="shared" si="41"/>
        <v>20</v>
      </c>
      <c r="K220" s="331">
        <f t="shared" si="41"/>
        <v>20</v>
      </c>
      <c r="L220" s="331">
        <f t="shared" si="41"/>
        <v>20</v>
      </c>
      <c r="M220" s="331">
        <f t="shared" si="41"/>
        <v>20</v>
      </c>
      <c r="N220" s="331">
        <f t="shared" si="41"/>
        <v>20</v>
      </c>
    </row>
    <row r="221" spans="1:14" ht="12.75">
      <c r="A221" s="330" t="s">
        <v>73</v>
      </c>
      <c r="B221" s="364">
        <f>IF(C216+B219-B218&lt;G216,MAXA(I216,G216+B218-C216-B219),0)</f>
        <v>4</v>
      </c>
      <c r="C221" s="331">
        <f>IF(B220+C219-C218&lt;G216,MAXA(I216,G216+C218-C219-B220),0)</f>
        <v>0</v>
      </c>
      <c r="D221" s="331">
        <f>IF(C220+D219-D218&lt;G216,MAXA(I216,G216+D218-D219-C220),0)</f>
        <v>16</v>
      </c>
      <c r="E221" s="331">
        <f>IF(D220+E219-E218&lt;G216,MAXA(I216,G216+E218-E219-D220),0)</f>
        <v>22</v>
      </c>
      <c r="F221" s="331">
        <f>IF(E220+F219-F218&lt;G216,MAXA(I216,G216+F218-F219-E220),0)</f>
        <v>29</v>
      </c>
      <c r="G221" s="331">
        <f>IF(F220+G219-G218&lt;G216,MAXA(I216,G216+G218-G219-F220),0)</f>
        <v>29</v>
      </c>
      <c r="H221" s="331">
        <f>IF(G220+H219-H218&lt;G216,MAXA(I216,G216+H218-H219-G220),0)</f>
        <v>24</v>
      </c>
      <c r="I221" s="331">
        <f>IF(H220+I219-I218&lt;G216,MAXA(I216,G216+I218-I219-H220),0)</f>
        <v>34</v>
      </c>
      <c r="J221" s="331">
        <f>IF(I220+J219-J218&lt;G216,MAXA(I216,G216+J218-J219-I220),0)</f>
        <v>34</v>
      </c>
      <c r="K221" s="331">
        <f>IF(J220+K219-K218&lt;G216,MAXA(I216,G216+K218-K219-J220),0)</f>
        <v>34</v>
      </c>
      <c r="L221" s="331">
        <f>IF(K220+L219-L218&lt;G216,MAXA(I216,G216+L218-L219-K220),0)</f>
        <v>34</v>
      </c>
      <c r="M221" s="331">
        <f>IF(L220+M219-M218&lt;G216,MAXA(I216,G216+M218-M219-L220),0)</f>
        <v>28</v>
      </c>
      <c r="N221" s="331">
        <f>IF(M220+N219-N218&lt;G216,MAXA(I216,G216+N218-N219-M220),0)</f>
        <v>0</v>
      </c>
    </row>
    <row r="222" spans="1:14" ht="12.75">
      <c r="A222" s="330" t="s">
        <v>74</v>
      </c>
      <c r="B222" s="364">
        <f>ROUND(IF(K216=0,0,(IF(E216=4,SUM(B221:F221),IF(E216=1,SUM(B221:C221),0)))/K216),0)</f>
        <v>4</v>
      </c>
      <c r="C222" s="331">
        <f>ROUND(IF(K216=0,0,(IF(E216=4,G221,IF(E216=1,D221,0)))/K216),0)</f>
        <v>16</v>
      </c>
      <c r="D222" s="331">
        <f>ROUND(IF(K216=0,0,(IF(E216=4,H221,IF(E216=1,E221,0)))/K216),0)</f>
        <v>22</v>
      </c>
      <c r="E222" s="331">
        <f>ROUND(IF(K216=0,0,(IF(E216=4,I221,IF(E216=1,F221,0)))/K216),0)</f>
        <v>29</v>
      </c>
      <c r="F222" s="331">
        <f>ROUND(IF(K216=0,0,(IF(E216=4,J221,IF(E216=1,G221,0)))/K216),0)</f>
        <v>29</v>
      </c>
      <c r="G222" s="331">
        <f>ROUND(IF(K216=0,0,(IF(E216=4,K221,IF(E216=1,H221,0)))/K216),0)</f>
        <v>24</v>
      </c>
      <c r="H222" s="331">
        <f>ROUND(IF(K216=0,0,(IF(E216=4,L221,IF(E216=1,I221,0)))/K216),0)</f>
        <v>34</v>
      </c>
      <c r="I222" s="331">
        <f>ROUND(IF(K216=0,0,(IF(E216=4,M221,IF(E216=1,J221,0)))/K216),0)</f>
        <v>34</v>
      </c>
      <c r="J222" s="331">
        <f>ROUND(IF(K216=0,0,(IF(E216=4,N221,IF(E216=1,K221,0)))/K216),0)</f>
        <v>34</v>
      </c>
      <c r="K222" s="331">
        <f>ROUND(IF(K216=0,0,(IF(E216=1,L221,0))/K216),0)</f>
        <v>34</v>
      </c>
      <c r="L222" s="331">
        <f>ROUND(IF(K216=0,0,(IF(E216=1,M221,0))/K216),0)</f>
        <v>28</v>
      </c>
      <c r="M222" s="331">
        <f>ROUND(IF(K216=0,0,(IF(E216=1,N221,0))/K216),0)</f>
        <v>0</v>
      </c>
      <c r="N222" s="336"/>
    </row>
    <row r="223" ht="12.75"/>
    <row r="224" spans="2:12" ht="12.75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>
        <v>20</v>
      </c>
      <c r="H224" s="342" t="s">
        <v>67</v>
      </c>
      <c r="I224" s="119">
        <v>1</v>
      </c>
      <c r="J224" s="329" t="s">
        <v>44</v>
      </c>
      <c r="K224" s="335">
        <f>1-'Poliof40 - LIVROB'!$D$576</f>
        <v>0.99</v>
      </c>
      <c r="L224" s="114"/>
    </row>
    <row r="225" spans="1:14" ht="12.75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ht="12.75">
      <c r="A226" s="330" t="s">
        <v>70</v>
      </c>
      <c r="B226" s="331">
        <f aca="true" t="shared" si="42" ref="B226:N226">B179</f>
        <v>0</v>
      </c>
      <c r="C226" s="331">
        <f t="shared" si="42"/>
        <v>34</v>
      </c>
      <c r="D226" s="331">
        <f t="shared" si="42"/>
        <v>39</v>
      </c>
      <c r="E226" s="331">
        <f t="shared" si="42"/>
        <v>33</v>
      </c>
      <c r="F226" s="331">
        <f t="shared" si="42"/>
        <v>62</v>
      </c>
      <c r="G226" s="331">
        <f t="shared" si="42"/>
        <v>53</v>
      </c>
      <c r="H226" s="331">
        <f t="shared" si="42"/>
        <v>55</v>
      </c>
      <c r="I226" s="331">
        <f t="shared" si="42"/>
        <v>47</v>
      </c>
      <c r="J226" s="331">
        <f t="shared" si="42"/>
        <v>73</v>
      </c>
      <c r="K226" s="331">
        <f t="shared" si="42"/>
        <v>61</v>
      </c>
      <c r="L226" s="331">
        <f t="shared" si="42"/>
        <v>56</v>
      </c>
      <c r="M226" s="331">
        <f t="shared" si="42"/>
        <v>48</v>
      </c>
      <c r="N226" s="331">
        <f t="shared" si="42"/>
        <v>0</v>
      </c>
    </row>
    <row r="227" spans="1:14" ht="12.75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ht="12.75">
      <c r="A228" s="330" t="s">
        <v>72</v>
      </c>
      <c r="B228" s="331">
        <f>C224+B227+B229-B226</f>
        <v>20</v>
      </c>
      <c r="C228" s="331">
        <f aca="true" t="shared" si="43" ref="C228:N228">B228+C229-C226+C227</f>
        <v>40</v>
      </c>
      <c r="D228" s="331">
        <f t="shared" si="43"/>
        <v>20</v>
      </c>
      <c r="E228" s="331">
        <f t="shared" si="43"/>
        <v>20</v>
      </c>
      <c r="F228" s="331">
        <f t="shared" si="43"/>
        <v>20</v>
      </c>
      <c r="G228" s="331">
        <f t="shared" si="43"/>
        <v>20</v>
      </c>
      <c r="H228" s="331">
        <f t="shared" si="43"/>
        <v>20</v>
      </c>
      <c r="I228" s="331">
        <f t="shared" si="43"/>
        <v>20</v>
      </c>
      <c r="J228" s="331">
        <f t="shared" si="43"/>
        <v>20</v>
      </c>
      <c r="K228" s="331">
        <f t="shared" si="43"/>
        <v>20</v>
      </c>
      <c r="L228" s="331">
        <f t="shared" si="43"/>
        <v>20</v>
      </c>
      <c r="M228" s="331">
        <f t="shared" si="43"/>
        <v>20</v>
      </c>
      <c r="N228" s="331">
        <f t="shared" si="43"/>
        <v>20</v>
      </c>
    </row>
    <row r="229" spans="1:14" ht="12.75">
      <c r="A229" s="330" t="s">
        <v>73</v>
      </c>
      <c r="B229" s="364">
        <f>IF(C224+B227-B226&lt;G224,MAXA(I224,G224+B226-C224-B227),0)</f>
        <v>3</v>
      </c>
      <c r="C229" s="331">
        <f>IF(B228+C227-C226&lt;G224,MAXA(I224,G224+C226-C227-B228),0)</f>
        <v>0</v>
      </c>
      <c r="D229" s="331">
        <f>IF(C228+D227-D226&lt;G224,MAXA(I224,G224+D226-D227-C228),0)</f>
        <v>19</v>
      </c>
      <c r="E229" s="331">
        <f>IF(D228+E227-E226&lt;G224,MAXA(I224,G224+E226-E227-D228),0)</f>
        <v>33</v>
      </c>
      <c r="F229" s="331">
        <f>IF(E228+F227-F226&lt;G224,MAXA(I224,G224+F226-F227-E228),0)</f>
        <v>62</v>
      </c>
      <c r="G229" s="331">
        <f>IF(F228+G227-G226&lt;G224,MAXA(I224,G224+G226-G227-F228),0)</f>
        <v>53</v>
      </c>
      <c r="H229" s="331">
        <f>IF(G228+H227-H226&lt;G224,MAXA(I224,G224+H226-H227-G228),0)</f>
        <v>55</v>
      </c>
      <c r="I229" s="331">
        <f>IF(H228+I227-I226&lt;G224,MAXA(I224,G224+I226-I227-H228),0)</f>
        <v>47</v>
      </c>
      <c r="J229" s="331">
        <f>IF(I228+J227-J226&lt;G224,MAXA(I224,G224+J226-J227-I228),0)</f>
        <v>73</v>
      </c>
      <c r="K229" s="331">
        <f>IF(J228+K227-K226&lt;G224,MAXA(I224,G224+K226-K227-J228),0)</f>
        <v>61</v>
      </c>
      <c r="L229" s="331">
        <f>IF(K228+L227-L226&lt;G224,MAXA(I224,G224+L226-L227-K228),0)</f>
        <v>56</v>
      </c>
      <c r="M229" s="331">
        <f>IF(L228+M227-M226&lt;G224,MAXA(I224,G224+M226-M227-L228),0)</f>
        <v>48</v>
      </c>
      <c r="N229" s="331">
        <f>IF(M228+N227-N226&lt;G224,MAXA(I224,G224+N226-N227-M228),0)</f>
        <v>0</v>
      </c>
    </row>
    <row r="230" spans="1:14" ht="12.75">
      <c r="A230" s="330" t="s">
        <v>74</v>
      </c>
      <c r="B230" s="364">
        <f>ROUND(IF(K224=0,0,(IF(E224=4,SUM(B229:F229),IF(E224=1,SUM(B229:C229),0)))/K224),0)</f>
        <v>3</v>
      </c>
      <c r="C230" s="331">
        <f>ROUND(IF(K224=0,0,(IF(E224=4,G229,IF(E224=1,D229,0)))/K224),0)</f>
        <v>19</v>
      </c>
      <c r="D230" s="331">
        <f>ROUND(IF(K224=0,0,(IF(E224=4,H229,IF(E224=1,E229,0)))/K224),0)</f>
        <v>33</v>
      </c>
      <c r="E230" s="331">
        <f>ROUND(IF(K224=0,0,(IF(E224=4,I229,IF(E224=1,F229,0)))/K224),0)</f>
        <v>63</v>
      </c>
      <c r="F230" s="331">
        <f>ROUND(IF(K224=0,0,(IF(E224=4,J229,IF(E224=1,G229,0)))/K224),0)</f>
        <v>54</v>
      </c>
      <c r="G230" s="331">
        <f>ROUND(IF(K224=0,0,(IF(E224=4,K229,IF(E224=1,H229,0)))/K224),0)</f>
        <v>56</v>
      </c>
      <c r="H230" s="331">
        <f>ROUND(IF(K224=0,0,(IF(E224=4,L229,IF(E224=1,I229,0)))/K224),0)</f>
        <v>47</v>
      </c>
      <c r="I230" s="331">
        <f>ROUND(IF(K224=0,0,(IF(E224=4,M229,IF(E224=1,J229,0)))/K224),0)</f>
        <v>74</v>
      </c>
      <c r="J230" s="331">
        <f>ROUND(IF(K224=0,0,(IF(E224=4,N229,IF(E224=1,K229,0)))/K224),0)</f>
        <v>62</v>
      </c>
      <c r="K230" s="331">
        <f>ROUND(IF(K224=0,0,(IF(E224=1,L229,0))/K224),0)</f>
        <v>57</v>
      </c>
      <c r="L230" s="331">
        <f>ROUND(IF(K224=0,0,(IF(E224=1,M229,0))/K224),0)</f>
        <v>48</v>
      </c>
      <c r="M230" s="331">
        <f>ROUND(IF(K224=0,0,(IF(E224=1,N229,0))/K224),0)</f>
        <v>0</v>
      </c>
      <c r="N230" s="336"/>
    </row>
    <row r="231" ht="12.75"/>
    <row r="232" spans="2:12" ht="12.75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>
        <v>20</v>
      </c>
      <c r="H232" s="342" t="s">
        <v>67</v>
      </c>
      <c r="I232" s="119">
        <v>1</v>
      </c>
      <c r="J232" s="329" t="s">
        <v>44</v>
      </c>
      <c r="K232" s="335">
        <f>1-'Poliof40 - LIVROB'!$D$577</f>
        <v>0.99</v>
      </c>
      <c r="L232" s="114"/>
    </row>
    <row r="233" spans="1:14" ht="12.75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ht="12.75">
      <c r="A234" s="330" t="s">
        <v>70</v>
      </c>
      <c r="B234" s="331">
        <f>B186+B193</f>
        <v>0</v>
      </c>
      <c r="C234" s="331">
        <f aca="true" t="shared" si="44" ref="C234:N234">C186+C193+C120</f>
        <v>27</v>
      </c>
      <c r="D234" s="331">
        <f t="shared" si="44"/>
        <v>23</v>
      </c>
      <c r="E234" s="331">
        <f t="shared" si="44"/>
        <v>23</v>
      </c>
      <c r="F234" s="331">
        <f t="shared" si="44"/>
        <v>31</v>
      </c>
      <c r="G234" s="331">
        <f t="shared" si="44"/>
        <v>31</v>
      </c>
      <c r="H234" s="331">
        <f t="shared" si="44"/>
        <v>25</v>
      </c>
      <c r="I234" s="331">
        <f t="shared" si="44"/>
        <v>36</v>
      </c>
      <c r="J234" s="331">
        <f t="shared" si="44"/>
        <v>36</v>
      </c>
      <c r="K234" s="331">
        <f t="shared" si="44"/>
        <v>36</v>
      </c>
      <c r="L234" s="331">
        <f t="shared" si="44"/>
        <v>36</v>
      </c>
      <c r="M234" s="331">
        <f t="shared" si="44"/>
        <v>30</v>
      </c>
      <c r="N234" s="331">
        <f t="shared" si="44"/>
        <v>0</v>
      </c>
    </row>
    <row r="235" spans="1:14" ht="12.75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ht="12.75">
      <c r="A236" s="330" t="s">
        <v>72</v>
      </c>
      <c r="B236" s="331">
        <f>C232+B235+B237-B234</f>
        <v>20</v>
      </c>
      <c r="C236" s="331">
        <f aca="true" t="shared" si="45" ref="C236:N236">B236+C237-C234+C235</f>
        <v>24</v>
      </c>
      <c r="D236" s="331">
        <f t="shared" si="45"/>
        <v>20</v>
      </c>
      <c r="E236" s="331">
        <f t="shared" si="45"/>
        <v>20</v>
      </c>
      <c r="F236" s="331">
        <f t="shared" si="45"/>
        <v>20</v>
      </c>
      <c r="G236" s="331">
        <f t="shared" si="45"/>
        <v>20</v>
      </c>
      <c r="H236" s="331">
        <f t="shared" si="45"/>
        <v>20</v>
      </c>
      <c r="I236" s="331">
        <f t="shared" si="45"/>
        <v>20</v>
      </c>
      <c r="J236" s="331">
        <f t="shared" si="45"/>
        <v>20</v>
      </c>
      <c r="K236" s="331">
        <f t="shared" si="45"/>
        <v>20</v>
      </c>
      <c r="L236" s="331">
        <f t="shared" si="45"/>
        <v>20</v>
      </c>
      <c r="M236" s="331">
        <f t="shared" si="45"/>
        <v>20</v>
      </c>
      <c r="N236" s="331">
        <f t="shared" si="45"/>
        <v>20</v>
      </c>
    </row>
    <row r="237" spans="1:14" ht="12.75">
      <c r="A237" s="330" t="s">
        <v>73</v>
      </c>
      <c r="B237" s="364">
        <f>IF(C232+B235-B234&lt;G232,MAXA(I232,G232+B234-C232-B235),0)</f>
        <v>4</v>
      </c>
      <c r="C237" s="331">
        <f>IF(B236+C235-C234&lt;G232,MAXA(I232,G232+C234-C235-B236),0)</f>
        <v>0</v>
      </c>
      <c r="D237" s="331">
        <f>IF(C236+D235-D234&lt;G232,MAXA(I232,G232+D234-D235-C236),0)</f>
        <v>19</v>
      </c>
      <c r="E237" s="331">
        <f>IF(D236+E235-E234&lt;G232,MAXA(I232,G232+E234-E235-D236),0)</f>
        <v>23</v>
      </c>
      <c r="F237" s="331">
        <f>IF(E236+F235-F234&lt;G232,MAXA(I232,G232+F234-F235-E236),0)</f>
        <v>31</v>
      </c>
      <c r="G237" s="331">
        <f>IF(F236+G235-G234&lt;G232,MAXA(I232,G232+G234-G235-F236),0)</f>
        <v>31</v>
      </c>
      <c r="H237" s="331">
        <f>IF(G236+H235-H234&lt;G232,MAXA(I232,G232+H234-H235-G236),0)</f>
        <v>25</v>
      </c>
      <c r="I237" s="331">
        <f>IF(H236+I235-I234&lt;G232,MAXA(I232,G232+I234-I235-H236),0)</f>
        <v>36</v>
      </c>
      <c r="J237" s="331">
        <f>IF(I236+J235-J234&lt;G232,MAXA(I232,G232+J234-J235-I236),0)</f>
        <v>36</v>
      </c>
      <c r="K237" s="331">
        <f>IF(J236+K235-K234&lt;G232,MAXA(I232,G232+K234-K235-J236),0)</f>
        <v>36</v>
      </c>
      <c r="L237" s="331">
        <f>IF(K236+L235-L234&lt;G232,MAXA(I232,G232+L234-L235-K236),0)</f>
        <v>36</v>
      </c>
      <c r="M237" s="331">
        <f>IF(L236+M235-M234&lt;G232,MAXA(I232,G232+M234-M235-L236),0)</f>
        <v>30</v>
      </c>
      <c r="N237" s="331">
        <f>IF(M236+N235-N234&lt;G232,MAXA(I232,G232+N234-N235-M236),0)</f>
        <v>0</v>
      </c>
    </row>
    <row r="238" spans="1:14" ht="12.75">
      <c r="A238" s="330" t="s">
        <v>74</v>
      </c>
      <c r="B238" s="364">
        <f>ROUND(IF(K232=0,0,(IF(E232=4,SUM(B237:F237),IF(E232=1,SUM(B237:C237),0)))/K232),0)</f>
        <v>4</v>
      </c>
      <c r="C238" s="331">
        <f>ROUND(IF(K232=0,0,(IF(E232=4,G237,IF(E232=1,D237,0)))/K232),0)</f>
        <v>19</v>
      </c>
      <c r="D238" s="331">
        <f>ROUND(IF(K232=0,0,(IF(E232=4,H237,IF(E232=1,E237,0)))/K232),0)</f>
        <v>23</v>
      </c>
      <c r="E238" s="331">
        <f>ROUND(IF(K232=0,0,(IF(E232=4,I237,IF(E232=1,F237,0)))/K232),0)</f>
        <v>31</v>
      </c>
      <c r="F238" s="331">
        <f>ROUND(IF(K232=0,0,(IF(E232=4,J237,IF(E232=1,G237,0)))/K232),0)</f>
        <v>31</v>
      </c>
      <c r="G238" s="331">
        <f>ROUND(IF(K232=0,0,(IF(E232=4,K237,IF(E232=1,H237,0)))/K232),0)</f>
        <v>25</v>
      </c>
      <c r="H238" s="331">
        <f>ROUND(IF(K232=0,0,(IF(E232=4,L237,IF(E232=1,I237,0)))/K232),0)</f>
        <v>36</v>
      </c>
      <c r="I238" s="331">
        <f>ROUND(IF(K232=0,0,(IF(E232=4,M237,IF(E232=1,J237,0)))/K232),0)</f>
        <v>36</v>
      </c>
      <c r="J238" s="331">
        <f>ROUND(IF(K232=0,0,(IF(E232=4,N237,IF(E232=1,K237,0)))/K232),0)</f>
        <v>36</v>
      </c>
      <c r="K238" s="331">
        <f>ROUND(IF(K232=0,0,(IF(E232=1,L237,0))/K232),0)</f>
        <v>36</v>
      </c>
      <c r="L238" s="331">
        <f>ROUND(IF(K232=0,0,(IF(E232=1,M237,0))/K232),0)</f>
        <v>30</v>
      </c>
      <c r="M238" s="331">
        <f>ROUND(IF(K232=0,0,(IF(E232=1,N237,0))/K232),0)</f>
        <v>0</v>
      </c>
      <c r="N238" s="336"/>
    </row>
    <row r="239" ht="12.75">
      <c r="F239" s="111"/>
    </row>
    <row r="240" spans="2:12" ht="12.75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>
        <v>30</v>
      </c>
      <c r="H240" s="342" t="s">
        <v>67</v>
      </c>
      <c r="I240" s="119">
        <v>1</v>
      </c>
      <c r="J240" s="329" t="s">
        <v>44</v>
      </c>
      <c r="K240" s="335">
        <f>1-'Poliof40 - LIVROB'!$D$578</f>
        <v>0.99</v>
      </c>
      <c r="L240" s="114"/>
    </row>
    <row r="241" spans="1:14" ht="12.75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14" ht="12.75">
      <c r="A242" s="330" t="s">
        <v>70</v>
      </c>
      <c r="B242" s="331">
        <f>B200+B207+B214</f>
        <v>0</v>
      </c>
      <c r="C242" s="331">
        <f aca="true" t="shared" si="46" ref="C242:N242">C200+C207+C214+C127</f>
        <v>51</v>
      </c>
      <c r="D242" s="331">
        <f t="shared" si="46"/>
        <v>52</v>
      </c>
      <c r="E242" s="331">
        <f t="shared" si="46"/>
        <v>46</v>
      </c>
      <c r="F242" s="331">
        <f t="shared" si="46"/>
        <v>76</v>
      </c>
      <c r="G242" s="331">
        <f t="shared" si="46"/>
        <v>67</v>
      </c>
      <c r="H242" s="331">
        <f t="shared" si="46"/>
        <v>77</v>
      </c>
      <c r="I242" s="331">
        <f t="shared" si="46"/>
        <v>70</v>
      </c>
      <c r="J242" s="331">
        <f t="shared" si="46"/>
        <v>96</v>
      </c>
      <c r="K242" s="331">
        <f t="shared" si="46"/>
        <v>84</v>
      </c>
      <c r="L242" s="331">
        <f t="shared" si="46"/>
        <v>78</v>
      </c>
      <c r="M242" s="331">
        <f t="shared" si="46"/>
        <v>71</v>
      </c>
      <c r="N242" s="331">
        <f t="shared" si="46"/>
        <v>0</v>
      </c>
    </row>
    <row r="243" spans="1:14" ht="12.75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14" ht="12.75">
      <c r="A244" s="330" t="s">
        <v>72</v>
      </c>
      <c r="B244" s="331">
        <f>C240+B243+B245-B242</f>
        <v>30</v>
      </c>
      <c r="C244" s="331">
        <f aca="true" t="shared" si="47" ref="C244:N244">B244+C245-C242+C243</f>
        <v>47</v>
      </c>
      <c r="D244" s="331">
        <f t="shared" si="47"/>
        <v>30</v>
      </c>
      <c r="E244" s="331">
        <f t="shared" si="47"/>
        <v>30</v>
      </c>
      <c r="F244" s="331">
        <f t="shared" si="47"/>
        <v>30</v>
      </c>
      <c r="G244" s="331">
        <f t="shared" si="47"/>
        <v>30</v>
      </c>
      <c r="H244" s="331">
        <f t="shared" si="47"/>
        <v>30</v>
      </c>
      <c r="I244" s="331">
        <f t="shared" si="47"/>
        <v>30</v>
      </c>
      <c r="J244" s="331">
        <f t="shared" si="47"/>
        <v>30</v>
      </c>
      <c r="K244" s="331">
        <f t="shared" si="47"/>
        <v>30</v>
      </c>
      <c r="L244" s="331">
        <f t="shared" si="47"/>
        <v>30</v>
      </c>
      <c r="M244" s="331">
        <f t="shared" si="47"/>
        <v>30</v>
      </c>
      <c r="N244" s="331">
        <f t="shared" si="47"/>
        <v>30</v>
      </c>
    </row>
    <row r="245" spans="1:14" ht="12.75">
      <c r="A245" s="330" t="s">
        <v>73</v>
      </c>
      <c r="B245" s="364">
        <f>IF(C240+B243-B242&lt;G240,MAXA(I240,G240+B242-C240-B243),0)</f>
        <v>2</v>
      </c>
      <c r="C245" s="331">
        <f>IF(B244+C243-C242&lt;G240,MAXA(I240,G240+C242-C243-B244),0)</f>
        <v>0</v>
      </c>
      <c r="D245" s="331">
        <f>IF(C244+D243-D242&lt;G240,MAXA(I240,G240+D242-D243-C244),0)</f>
        <v>35</v>
      </c>
      <c r="E245" s="331">
        <f>IF(D244+E243-E242&lt;G240,MAXA(I240,G240+E242-E243-D244),0)</f>
        <v>46</v>
      </c>
      <c r="F245" s="331">
        <f>IF(E244+F243-F242&lt;G240,MAXA(I240,G240+F242-F243-E244),0)</f>
        <v>76</v>
      </c>
      <c r="G245" s="331">
        <f>IF(F244+G243-G242&lt;G240,MAXA(I240,G240+G242-G243-F244),0)</f>
        <v>67</v>
      </c>
      <c r="H245" s="331">
        <f>IF(G244+H243-H242&lt;G240,MAXA(I240,G240+H242-H243-G244),0)</f>
        <v>77</v>
      </c>
      <c r="I245" s="331">
        <f>IF(H244+I243-I242&lt;G240,MAXA(I240,G240+I242-I243-H244),0)</f>
        <v>70</v>
      </c>
      <c r="J245" s="331">
        <f>IF(I244+J243-J242&lt;G240,MAXA(I240,G240+J242-J243-I244),0)</f>
        <v>96</v>
      </c>
      <c r="K245" s="331">
        <f>IF(J244+K243-K242&lt;G240,MAXA(I240,G240+K242-K243-J244),0)</f>
        <v>84</v>
      </c>
      <c r="L245" s="331">
        <f>IF(K244+L243-L242&lt;G240,MAXA(I240,G240+L242-L243-K244),0)</f>
        <v>78</v>
      </c>
      <c r="M245" s="331">
        <f>IF(L244+M243-M242&lt;G240,MAXA(I240,G240+M242-M243-L244),0)</f>
        <v>71</v>
      </c>
      <c r="N245" s="331">
        <f>IF(M244+N243-N242&lt;G240,MAXA(I240,G240+N242-N243-M244),0)</f>
        <v>0</v>
      </c>
    </row>
    <row r="246" spans="1:14" ht="12.75">
      <c r="A246" s="330" t="s">
        <v>74</v>
      </c>
      <c r="B246" s="364">
        <f>ROUND(IF(K240=0,0,(IF(E240=4,SUM(B245:F245),IF(E240=1,SUM(B245:C245),0)))/K240),0)</f>
        <v>2</v>
      </c>
      <c r="C246" s="331">
        <f>ROUND(IF(K240=0,0,(IF(E240=4,G245,IF(E240=1,D245,0)))/K240),0)</f>
        <v>35</v>
      </c>
      <c r="D246" s="331">
        <f>ROUND(IF(K240=0,0,(IF(E240=4,H245,IF(E240=1,E245,0)))/K240),0)</f>
        <v>46</v>
      </c>
      <c r="E246" s="331">
        <f>ROUND(IF(K240=0,0,(IF(E240=4,I245,IF(E240=1,F245,0)))/K240),0)</f>
        <v>77</v>
      </c>
      <c r="F246" s="331">
        <f>ROUND(IF(K240=0,0,(IF(E240=4,J245,IF(E240=1,G245,0)))/K240),0)</f>
        <v>68</v>
      </c>
      <c r="G246" s="331">
        <f>ROUND(IF(K240=0,0,(IF(E240=4,K245,IF(E240=1,H245,0)))/K240),0)</f>
        <v>78</v>
      </c>
      <c r="H246" s="331">
        <f>ROUND(IF(K240=0,0,(IF(E240=4,L245,IF(E240=1,I245,0)))/K240),0)</f>
        <v>71</v>
      </c>
      <c r="I246" s="331">
        <f>ROUND(IF(K240=0,0,(IF(E240=4,M245,IF(E240=1,J245,0)))/K240),0)</f>
        <v>97</v>
      </c>
      <c r="J246" s="331">
        <f>ROUND(IF(K240=0,0,(IF(E240=4,N245,IF(E240=1,K245,0)))/K240),0)</f>
        <v>85</v>
      </c>
      <c r="K246" s="331">
        <f>ROUND(IF(K240=0,0,(IF(E240=1,L245,0))/K240),0)</f>
        <v>79</v>
      </c>
      <c r="L246" s="331">
        <f>ROUND(IF(K240=0,0,(IF(E240=1,M245,0))/K240),0)</f>
        <v>72</v>
      </c>
      <c r="M246" s="331">
        <f>ROUND(IF(K240=0,0,(IF(E240=1,N245,0))/K240),0)</f>
        <v>0</v>
      </c>
      <c r="N246" s="336"/>
    </row>
    <row r="247" ht="12.75"/>
    <row r="248" spans="2:12" ht="12.75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>
        <v>700</v>
      </c>
      <c r="H248" s="342" t="s">
        <v>67</v>
      </c>
      <c r="I248" s="119">
        <v>1</v>
      </c>
      <c r="J248" s="329" t="s">
        <v>44</v>
      </c>
      <c r="K248" s="335">
        <f>1-'Poliof40 - LIVROB'!$D$579</f>
        <v>0.99</v>
      </c>
      <c r="L248" s="114"/>
    </row>
    <row r="249" spans="1:14" ht="12.75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14" ht="12.75">
      <c r="A250" s="330" t="s">
        <v>70</v>
      </c>
      <c r="B250" s="331">
        <f aca="true" t="shared" si="48" ref="B250:N250">8*B200+16*(B186+B207)+32*(B193+B214)</f>
        <v>0</v>
      </c>
      <c r="C250" s="331">
        <f t="shared" si="48"/>
        <v>1448</v>
      </c>
      <c r="D250" s="331">
        <f t="shared" si="48"/>
        <v>1568</v>
      </c>
      <c r="E250" s="331">
        <f t="shared" si="48"/>
        <v>1520</v>
      </c>
      <c r="F250" s="331">
        <f t="shared" si="48"/>
        <v>2064</v>
      </c>
      <c r="G250" s="331">
        <f t="shared" si="48"/>
        <v>2008</v>
      </c>
      <c r="H250" s="331">
        <f t="shared" si="48"/>
        <v>2120</v>
      </c>
      <c r="I250" s="331">
        <f t="shared" si="48"/>
        <v>2320</v>
      </c>
      <c r="J250" s="331">
        <f t="shared" si="48"/>
        <v>2528</v>
      </c>
      <c r="K250" s="331">
        <f t="shared" si="48"/>
        <v>2432</v>
      </c>
      <c r="L250" s="331">
        <f t="shared" si="48"/>
        <v>2384</v>
      </c>
      <c r="M250" s="331">
        <f t="shared" si="48"/>
        <v>2232</v>
      </c>
      <c r="N250" s="331">
        <f t="shared" si="48"/>
        <v>0</v>
      </c>
    </row>
    <row r="251" spans="1:14" ht="12.75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14" ht="12.75">
      <c r="A252" s="330" t="s">
        <v>72</v>
      </c>
      <c r="B252" s="331">
        <f>C248+B251+B253-B250</f>
        <v>700</v>
      </c>
      <c r="C252" s="331">
        <f aca="true" t="shared" si="49" ref="C252:N252">B252+C253-C250+C251</f>
        <v>1280</v>
      </c>
      <c r="D252" s="331">
        <f t="shared" si="49"/>
        <v>700</v>
      </c>
      <c r="E252" s="331">
        <f t="shared" si="49"/>
        <v>700</v>
      </c>
      <c r="F252" s="331">
        <f t="shared" si="49"/>
        <v>700</v>
      </c>
      <c r="G252" s="331">
        <f t="shared" si="49"/>
        <v>700</v>
      </c>
      <c r="H252" s="331">
        <f t="shared" si="49"/>
        <v>700</v>
      </c>
      <c r="I252" s="331">
        <f t="shared" si="49"/>
        <v>700</v>
      </c>
      <c r="J252" s="331">
        <f t="shared" si="49"/>
        <v>700</v>
      </c>
      <c r="K252" s="331">
        <f t="shared" si="49"/>
        <v>700</v>
      </c>
      <c r="L252" s="331">
        <f t="shared" si="49"/>
        <v>700</v>
      </c>
      <c r="M252" s="331">
        <f t="shared" si="49"/>
        <v>700</v>
      </c>
      <c r="N252" s="331">
        <f t="shared" si="49"/>
        <v>700</v>
      </c>
    </row>
    <row r="253" spans="1:28" ht="12.75">
      <c r="A253" s="330" t="s">
        <v>73</v>
      </c>
      <c r="B253" s="364">
        <f>IF(C248+B251-B250&lt;G248,MAXA(I248,G248+B250-C248-B251),0)</f>
        <v>21</v>
      </c>
      <c r="C253" s="331">
        <f>IF(B252+C251-C250&lt;G248,MAXA(I248,G248+C250-C251-B252),0)</f>
        <v>0</v>
      </c>
      <c r="D253" s="331">
        <f>IF(C252+D251-D250&lt;G248,MAXA(I248,G248+D250-D251-C252),0)</f>
        <v>988</v>
      </c>
      <c r="E253" s="331">
        <f>IF(D252+E251-E250&lt;G248,MAXA(I248,G248+E250-E251-D252),0)</f>
        <v>1520</v>
      </c>
      <c r="F253" s="331">
        <f>IF(E252+F251-F250&lt;G248,MAXA(I248,G248+F250-F251-E252),0)</f>
        <v>2064</v>
      </c>
      <c r="G253" s="331">
        <f>IF(F252+G251-G250&lt;G248,MAXA(I248,G248+G250-G251-F252),0)</f>
        <v>2008</v>
      </c>
      <c r="H253" s="331">
        <f>IF(G252+H251-H250&lt;G248,MAXA(I248,G248+H250-H251-G252),0)</f>
        <v>2120</v>
      </c>
      <c r="I253" s="331">
        <f>IF(H252+I251-I250&lt;G248,MAXA(I248,G248+I250-I251-H252),0)</f>
        <v>2320</v>
      </c>
      <c r="J253" s="331">
        <f>IF(I252+J251-J250&lt;G248,MAXA(I248,G248+J250-J251-I252),0)</f>
        <v>2528</v>
      </c>
      <c r="K253" s="331">
        <f>IF(J252+K251-K250&lt;G248,MAXA(I248,G248+K250-K251-J252),0)</f>
        <v>2432</v>
      </c>
      <c r="L253" s="331">
        <f>IF(K252+L251-L250&lt;G248,MAXA(I248,G248+L250-L251-K252),0)</f>
        <v>2384</v>
      </c>
      <c r="M253" s="331">
        <f>IF(L252+M251-M250&lt;G248,MAXA(I248,G248+M250-M251-L252),0)</f>
        <v>2232</v>
      </c>
      <c r="N253" s="331">
        <f>IF(M252+N251-N250&lt;G248,MAXA(I248,G248+N250-N251-M252),0)</f>
        <v>0</v>
      </c>
      <c r="AB253"/>
    </row>
    <row r="254" spans="1:28" ht="12.75">
      <c r="A254" s="330" t="s">
        <v>74</v>
      </c>
      <c r="B254" s="364">
        <f>ROUND(IF(K248=0,0,(IF(E248=4,SUM(B253:F253),IF(E248=1,SUM(B253:C253),0)))/K248),0)</f>
        <v>21</v>
      </c>
      <c r="C254" s="331">
        <f>ROUND(IF(K248=0,0,(IF(E248=4,G253,IF(E248=1,D253,0)))/K248),0)</f>
        <v>998</v>
      </c>
      <c r="D254" s="331">
        <f>ROUND(IF(K248=0,0,(IF(E248=4,H253,IF(E248=1,E253,0)))/K248),0)</f>
        <v>1535</v>
      </c>
      <c r="E254" s="331">
        <f>ROUND(IF(K248=0,0,(IF(E248=4,I253,IF(E248=1,F253,0)))/K248),0)</f>
        <v>2085</v>
      </c>
      <c r="F254" s="331">
        <f>ROUND(IF(K248=0,0,(IF(E248=4,J253,IF(E248=1,G253,0)))/K248),0)</f>
        <v>2028</v>
      </c>
      <c r="G254" s="331">
        <f>ROUND(IF(K248=0,0,(IF(E248=4,K253,IF(E248=1,H253,0)))/K248),0)</f>
        <v>2141</v>
      </c>
      <c r="H254" s="331">
        <f>ROUND(IF(K248=0,0,(IF(E248=4,L253,IF(E248=1,I253,0)))/K248),0)</f>
        <v>2343</v>
      </c>
      <c r="I254" s="331">
        <f>ROUND(IF(K248=0,0,(IF(E248=4,M253,IF(E248=1,J253,0)))/K248),0)</f>
        <v>2554</v>
      </c>
      <c r="J254" s="331">
        <f>ROUND(IF(K248=0,0,(IF(E248=4,N253,IF(E248=1,K253,0)))/K248),0)</f>
        <v>2457</v>
      </c>
      <c r="K254" s="331">
        <f>ROUND(IF(K248=0,0,(IF(E248=1,L253,0))/K248),0)</f>
        <v>2408</v>
      </c>
      <c r="L254" s="331">
        <f>ROUND(IF(K248=0,0,(IF(E248=1,M253,0))/K248),0)</f>
        <v>2255</v>
      </c>
      <c r="M254" s="331">
        <f>ROUND(IF(K248=0,0,(IF(E248=1,N253,0))/K248),0)</f>
        <v>0</v>
      </c>
      <c r="N254" s="336"/>
      <c r="AB254"/>
    </row>
    <row r="255" ht="12.75"/>
    <row r="256" spans="2:12" ht="12.75">
      <c r="B256" s="341" t="s">
        <v>43</v>
      </c>
      <c r="C256" s="334">
        <f>'Poliof40 - LIVROB'!$T$941</f>
        <v>53</v>
      </c>
      <c r="D256" s="330" t="s">
        <v>78</v>
      </c>
      <c r="E256" s="444">
        <v>1</v>
      </c>
      <c r="F256" s="330" t="s">
        <v>88</v>
      </c>
      <c r="G256" s="119">
        <v>20</v>
      </c>
      <c r="H256" s="342" t="s">
        <v>67</v>
      </c>
      <c r="I256" s="119">
        <v>1</v>
      </c>
      <c r="J256" s="329" t="s">
        <v>44</v>
      </c>
      <c r="K256" s="335">
        <f>1-'Poliof40 - LIVROB'!$D$560</f>
        <v>0.85</v>
      </c>
      <c r="L256" s="114"/>
    </row>
    <row r="257" spans="1:14" ht="12.75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ht="12.75">
      <c r="A258" s="330" t="s">
        <v>70</v>
      </c>
      <c r="B258" s="336">
        <f aca="true" t="shared" si="50" ref="B258:N258">B171</f>
        <v>0</v>
      </c>
      <c r="C258" s="331">
        <f t="shared" si="50"/>
        <v>23</v>
      </c>
      <c r="D258" s="331">
        <f t="shared" si="50"/>
        <v>22</v>
      </c>
      <c r="E258" s="331">
        <f t="shared" si="50"/>
        <v>22</v>
      </c>
      <c r="F258" s="331">
        <f t="shared" si="50"/>
        <v>29</v>
      </c>
      <c r="G258" s="331">
        <f t="shared" si="50"/>
        <v>29</v>
      </c>
      <c r="H258" s="331">
        <f t="shared" si="50"/>
        <v>24</v>
      </c>
      <c r="I258" s="331">
        <f t="shared" si="50"/>
        <v>34</v>
      </c>
      <c r="J258" s="331">
        <f t="shared" si="50"/>
        <v>34</v>
      </c>
      <c r="K258" s="331">
        <f t="shared" si="50"/>
        <v>34</v>
      </c>
      <c r="L258" s="331">
        <f t="shared" si="50"/>
        <v>34</v>
      </c>
      <c r="M258" s="331">
        <f t="shared" si="50"/>
        <v>28</v>
      </c>
      <c r="N258" s="331">
        <f t="shared" si="50"/>
        <v>0</v>
      </c>
    </row>
    <row r="259" spans="1:14" ht="12.75">
      <c r="A259" s="330" t="s">
        <v>72</v>
      </c>
      <c r="B259" s="331">
        <f>C256+B260-B258</f>
        <v>53</v>
      </c>
      <c r="C259" s="331">
        <f aca="true" t="shared" si="51" ref="C259:N259">B259+C260-C258</f>
        <v>30</v>
      </c>
      <c r="D259" s="331">
        <f t="shared" si="51"/>
        <v>20</v>
      </c>
      <c r="E259" s="331">
        <f t="shared" si="51"/>
        <v>20</v>
      </c>
      <c r="F259" s="331">
        <f t="shared" si="51"/>
        <v>20</v>
      </c>
      <c r="G259" s="331">
        <f t="shared" si="51"/>
        <v>20</v>
      </c>
      <c r="H259" s="331">
        <f t="shared" si="51"/>
        <v>20</v>
      </c>
      <c r="I259" s="331">
        <f t="shared" si="51"/>
        <v>20</v>
      </c>
      <c r="J259" s="331">
        <f t="shared" si="51"/>
        <v>20</v>
      </c>
      <c r="K259" s="331">
        <f t="shared" si="51"/>
        <v>20</v>
      </c>
      <c r="L259" s="331">
        <f t="shared" si="51"/>
        <v>20</v>
      </c>
      <c r="M259" s="331">
        <f t="shared" si="51"/>
        <v>20</v>
      </c>
      <c r="N259" s="331">
        <f t="shared" si="51"/>
        <v>20</v>
      </c>
    </row>
    <row r="260" spans="1:14" ht="12.75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12</v>
      </c>
      <c r="E260" s="331">
        <f>IF(D259-E258&lt;G256,MAXA(I256,G256+E258-D259),0)</f>
        <v>22</v>
      </c>
      <c r="F260" s="331">
        <f>IF(E259-F258&lt;G256,MAXA(I256,G256+F258-E259),0)</f>
        <v>29</v>
      </c>
      <c r="G260" s="331">
        <f>IF(F259-G258&lt;G256,MAXA(I256,G256+G258-F259),0)</f>
        <v>29</v>
      </c>
      <c r="H260" s="331">
        <f>IF(G259-H258&lt;G256,MAXA(I256,G256+H258-G259),0)</f>
        <v>24</v>
      </c>
      <c r="I260" s="331">
        <f>IF(H259-I258&lt;G256,MAXA(I256,G256+I258-H259),0)</f>
        <v>34</v>
      </c>
      <c r="J260" s="331">
        <f>IF(I259-J258&lt;G256,MAXA(I256,G256+J258-I259),0)</f>
        <v>34</v>
      </c>
      <c r="K260" s="331">
        <f>IF(J259-K258&lt;G256,MAXA(I256,G256+K258-J259),0)</f>
        <v>34</v>
      </c>
      <c r="L260" s="331">
        <f>IF(K259-L258&lt;G256,MAXA(I256,G256+L258-K259),0)</f>
        <v>34</v>
      </c>
      <c r="M260" s="331">
        <f>IF(L259-M258&lt;G256,MAXA(I256,G256+M258-L259),0)</f>
        <v>28</v>
      </c>
      <c r="N260" s="331">
        <f>IF(M259-N258&lt;G256,MAXA(I256,G256+N258-M259),0)</f>
        <v>0</v>
      </c>
    </row>
    <row r="261" spans="1:14" ht="12.75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aca="true" t="shared" si="52" ref="C261:J261">ROUND(IF($K256=0,0,(IF($E256=1,D260,IF($E256=2,E260,IF($E256=3,F260,IF($E256=4,G260,0)))))/$K256),0)</f>
        <v>14</v>
      </c>
      <c r="D261" s="331">
        <f t="shared" si="52"/>
        <v>26</v>
      </c>
      <c r="E261" s="331">
        <f t="shared" si="52"/>
        <v>34</v>
      </c>
      <c r="F261" s="331">
        <f t="shared" si="52"/>
        <v>34</v>
      </c>
      <c r="G261" s="331">
        <f t="shared" si="52"/>
        <v>28</v>
      </c>
      <c r="H261" s="331">
        <f t="shared" si="52"/>
        <v>40</v>
      </c>
      <c r="I261" s="331">
        <f t="shared" si="52"/>
        <v>40</v>
      </c>
      <c r="J261" s="331">
        <f t="shared" si="52"/>
        <v>40</v>
      </c>
      <c r="K261" s="331">
        <f>IF($K256=0,0,IF($E256=1,L260/$K256,IF($E256=2,M260/$K256,IF($E256=3,N260/$K256,0))))</f>
        <v>40</v>
      </c>
      <c r="L261" s="331">
        <f>IF($K256=0,0,IF($E256=1,M260/$K256,IF($E256=2,N260/$K256,0)))</f>
        <v>32.94117647058824</v>
      </c>
      <c r="M261" s="331">
        <f>IF($K256=0,0,IF($E256=1,N260/$K256,0))</f>
        <v>0</v>
      </c>
      <c r="N261" s="336"/>
    </row>
    <row r="262" ht="12.75"/>
    <row r="263" spans="2:12" ht="12.75">
      <c r="B263" s="341" t="s">
        <v>43</v>
      </c>
      <c r="C263" s="334">
        <f>'Poliof40 - LIVROB'!$U$941</f>
        <v>78</v>
      </c>
      <c r="D263" s="330" t="s">
        <v>78</v>
      </c>
      <c r="E263" s="444">
        <v>1</v>
      </c>
      <c r="F263" s="330" t="s">
        <v>88</v>
      </c>
      <c r="G263" s="119">
        <v>20</v>
      </c>
      <c r="H263" s="342" t="s">
        <v>67</v>
      </c>
      <c r="I263" s="119">
        <v>1</v>
      </c>
      <c r="J263" s="329" t="s">
        <v>44</v>
      </c>
      <c r="K263" s="335">
        <f>1-'Poliof40 - LIVROB'!$D$561</f>
        <v>0.85</v>
      </c>
      <c r="L263" s="114"/>
    </row>
    <row r="264" spans="1:14" ht="12.75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ht="12.75">
      <c r="A265" s="330" t="s">
        <v>70</v>
      </c>
      <c r="B265" s="336">
        <f aca="true" t="shared" si="53" ref="B265:N265">B179</f>
        <v>0</v>
      </c>
      <c r="C265" s="331">
        <f t="shared" si="53"/>
        <v>34</v>
      </c>
      <c r="D265" s="331">
        <f t="shared" si="53"/>
        <v>39</v>
      </c>
      <c r="E265" s="331">
        <f t="shared" si="53"/>
        <v>33</v>
      </c>
      <c r="F265" s="331">
        <f t="shared" si="53"/>
        <v>62</v>
      </c>
      <c r="G265" s="331">
        <f t="shared" si="53"/>
        <v>53</v>
      </c>
      <c r="H265" s="331">
        <f t="shared" si="53"/>
        <v>55</v>
      </c>
      <c r="I265" s="331">
        <f t="shared" si="53"/>
        <v>47</v>
      </c>
      <c r="J265" s="331">
        <f t="shared" si="53"/>
        <v>73</v>
      </c>
      <c r="K265" s="331">
        <f t="shared" si="53"/>
        <v>61</v>
      </c>
      <c r="L265" s="331">
        <f t="shared" si="53"/>
        <v>56</v>
      </c>
      <c r="M265" s="331">
        <f t="shared" si="53"/>
        <v>48</v>
      </c>
      <c r="N265" s="331">
        <f t="shared" si="53"/>
        <v>0</v>
      </c>
    </row>
    <row r="266" spans="1:14" ht="12.75">
      <c r="A266" s="330" t="s">
        <v>72</v>
      </c>
      <c r="B266" s="331">
        <f>C263+B267-B265</f>
        <v>78</v>
      </c>
      <c r="C266" s="331">
        <f aca="true" t="shared" si="54" ref="C266:N266">B266+C267-C265</f>
        <v>44</v>
      </c>
      <c r="D266" s="331">
        <f t="shared" si="54"/>
        <v>20</v>
      </c>
      <c r="E266" s="331">
        <f t="shared" si="54"/>
        <v>20</v>
      </c>
      <c r="F266" s="331">
        <f t="shared" si="54"/>
        <v>20</v>
      </c>
      <c r="G266" s="331">
        <f t="shared" si="54"/>
        <v>20</v>
      </c>
      <c r="H266" s="331">
        <f t="shared" si="54"/>
        <v>20</v>
      </c>
      <c r="I266" s="331">
        <f t="shared" si="54"/>
        <v>20</v>
      </c>
      <c r="J266" s="331">
        <f t="shared" si="54"/>
        <v>20</v>
      </c>
      <c r="K266" s="331">
        <f t="shared" si="54"/>
        <v>20</v>
      </c>
      <c r="L266" s="331">
        <f t="shared" si="54"/>
        <v>20</v>
      </c>
      <c r="M266" s="331">
        <f t="shared" si="54"/>
        <v>20</v>
      </c>
      <c r="N266" s="331">
        <f t="shared" si="54"/>
        <v>20</v>
      </c>
    </row>
    <row r="267" spans="1:14" ht="12.75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15</v>
      </c>
      <c r="E267" s="331">
        <f>IF(D266-E265&lt;G263,MAXA(I263,G263+E265-D266),0)</f>
        <v>33</v>
      </c>
      <c r="F267" s="331">
        <f>IF(E266-F265&lt;G263,MAXA(I263,G263+F265-E266),0)</f>
        <v>62</v>
      </c>
      <c r="G267" s="331">
        <f>IF(F266-G265&lt;G263,MAXA(I263,G263+G265-F266),0)</f>
        <v>53</v>
      </c>
      <c r="H267" s="331">
        <f>IF(G266-H265&lt;G263,MAXA(I263,G263+H265-G266),0)</f>
        <v>55</v>
      </c>
      <c r="I267" s="331">
        <f>IF(H266-I265&lt;G263,MAXA(I263,G263+I265-H266),0)</f>
        <v>47</v>
      </c>
      <c r="J267" s="331">
        <f>IF(I266-J265&lt;G263,MAXA(I263,G263+J265-I266),0)</f>
        <v>73</v>
      </c>
      <c r="K267" s="331">
        <f>IF(J266-K265&lt;G263,MAXA(I263,G263+K265-J266),0)</f>
        <v>61</v>
      </c>
      <c r="L267" s="331">
        <f>IF(K266-L265&lt;G263,MAXA(I263,G263+L265-K266),0)</f>
        <v>56</v>
      </c>
      <c r="M267" s="331">
        <f>IF(L266-M265&lt;G263,MAXA(I263,G263+M265-L266),0)</f>
        <v>48</v>
      </c>
      <c r="N267" s="331">
        <f>IF(M266-N265&lt;G263,MAXA(I263,G263+N265-M266),0)</f>
        <v>0</v>
      </c>
    </row>
    <row r="268" spans="1:14" ht="12.75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aca="true" t="shared" si="55" ref="C268:J268">ROUND(IF($K263=0,0,(IF($E263=1,D267,IF($E263=2,E267,IF($E263=3,F267,IF($E263=4,G267,0)))))/$K263),0)</f>
        <v>18</v>
      </c>
      <c r="D268" s="331">
        <f t="shared" si="55"/>
        <v>39</v>
      </c>
      <c r="E268" s="331">
        <f t="shared" si="55"/>
        <v>73</v>
      </c>
      <c r="F268" s="331">
        <f t="shared" si="55"/>
        <v>62</v>
      </c>
      <c r="G268" s="331">
        <f t="shared" si="55"/>
        <v>65</v>
      </c>
      <c r="H268" s="331">
        <f t="shared" si="55"/>
        <v>55</v>
      </c>
      <c r="I268" s="331">
        <f t="shared" si="55"/>
        <v>86</v>
      </c>
      <c r="J268" s="331">
        <f t="shared" si="55"/>
        <v>72</v>
      </c>
      <c r="K268" s="331">
        <f>IF($K263=0,0,IF($E263=1,L267/$K263,IF($E263=2,M267/$K263,IF($E263=3,N267/$K263,0))))</f>
        <v>65.88235294117648</v>
      </c>
      <c r="L268" s="331">
        <f>IF($K263=0,0,IF($E263=1,M267/$K263,IF($E263=2,N267/$K263,0)))</f>
        <v>56.470588235294116</v>
      </c>
      <c r="M268" s="331">
        <f>IF($K263=0,0,IF($E263=1,N267/$K263,0))</f>
        <v>0</v>
      </c>
      <c r="N268" s="336"/>
    </row>
    <row r="269" ht="12.75"/>
    <row r="270" spans="2:12" ht="12.75">
      <c r="B270" s="341" t="s">
        <v>43</v>
      </c>
      <c r="C270" s="334">
        <f>'Poliof40 - LIVROB'!$V$941</f>
        <v>57</v>
      </c>
      <c r="D270" s="330" t="s">
        <v>78</v>
      </c>
      <c r="E270" s="444">
        <v>1</v>
      </c>
      <c r="F270" s="330" t="s">
        <v>66</v>
      </c>
      <c r="G270" s="119">
        <v>20</v>
      </c>
      <c r="H270" s="342" t="s">
        <v>67</v>
      </c>
      <c r="I270" s="119">
        <v>1</v>
      </c>
      <c r="J270" s="329" t="s">
        <v>44</v>
      </c>
      <c r="K270" s="335">
        <f>1-'Poliof40 - LIVROB'!$D$562</f>
        <v>0.85</v>
      </c>
      <c r="L270" s="114"/>
    </row>
    <row r="271" spans="1:14" ht="12.75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ht="12.75">
      <c r="A272" s="330" t="s">
        <v>70</v>
      </c>
      <c r="B272" s="336">
        <f>B186+B193</f>
        <v>0</v>
      </c>
      <c r="C272" s="331">
        <f aca="true" t="shared" si="56" ref="C272:N272">C186+C193+C120</f>
        <v>27</v>
      </c>
      <c r="D272" s="331">
        <f t="shared" si="56"/>
        <v>23</v>
      </c>
      <c r="E272" s="331">
        <f t="shared" si="56"/>
        <v>23</v>
      </c>
      <c r="F272" s="331">
        <f t="shared" si="56"/>
        <v>31</v>
      </c>
      <c r="G272" s="331">
        <f t="shared" si="56"/>
        <v>31</v>
      </c>
      <c r="H272" s="331">
        <f t="shared" si="56"/>
        <v>25</v>
      </c>
      <c r="I272" s="331">
        <f t="shared" si="56"/>
        <v>36</v>
      </c>
      <c r="J272" s="331">
        <f t="shared" si="56"/>
        <v>36</v>
      </c>
      <c r="K272" s="331">
        <f t="shared" si="56"/>
        <v>36</v>
      </c>
      <c r="L272" s="331">
        <f t="shared" si="56"/>
        <v>36</v>
      </c>
      <c r="M272" s="331">
        <f t="shared" si="56"/>
        <v>30</v>
      </c>
      <c r="N272" s="331">
        <f t="shared" si="56"/>
        <v>0</v>
      </c>
    </row>
    <row r="273" spans="1:14" ht="12.75">
      <c r="A273" s="330" t="s">
        <v>72</v>
      </c>
      <c r="B273" s="331">
        <f>C270+B274-B272</f>
        <v>57</v>
      </c>
      <c r="C273" s="331">
        <f aca="true" t="shared" si="57" ref="C273:N273">B273+C274-C272</f>
        <v>30</v>
      </c>
      <c r="D273" s="331">
        <f t="shared" si="57"/>
        <v>20</v>
      </c>
      <c r="E273" s="331">
        <f t="shared" si="57"/>
        <v>20</v>
      </c>
      <c r="F273" s="331">
        <f t="shared" si="57"/>
        <v>20</v>
      </c>
      <c r="G273" s="331">
        <f t="shared" si="57"/>
        <v>20</v>
      </c>
      <c r="H273" s="331">
        <f t="shared" si="57"/>
        <v>20</v>
      </c>
      <c r="I273" s="331">
        <f t="shared" si="57"/>
        <v>20</v>
      </c>
      <c r="J273" s="331">
        <f t="shared" si="57"/>
        <v>20</v>
      </c>
      <c r="K273" s="331">
        <f t="shared" si="57"/>
        <v>20</v>
      </c>
      <c r="L273" s="331">
        <f t="shared" si="57"/>
        <v>20</v>
      </c>
      <c r="M273" s="331">
        <f t="shared" si="57"/>
        <v>20</v>
      </c>
      <c r="N273" s="331">
        <f t="shared" si="57"/>
        <v>20</v>
      </c>
    </row>
    <row r="274" spans="1:14" ht="12.75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13</v>
      </c>
      <c r="E274" s="331">
        <f>IF(D273-E272&lt;G270,MAXA(I270,G270+E272-D273),0)</f>
        <v>23</v>
      </c>
      <c r="F274" s="331">
        <f>IF(E273-F272&lt;G270,MAXA(I270,G270+F272-E273),0)</f>
        <v>31</v>
      </c>
      <c r="G274" s="331">
        <f>IF(F273-G272&lt;G270,MAXA(I270,G270+G272-F273),0)</f>
        <v>31</v>
      </c>
      <c r="H274" s="331">
        <f>IF(G273-H272&lt;G270,MAXA(I270,G270+H272-G273),0)</f>
        <v>25</v>
      </c>
      <c r="I274" s="331">
        <f>IF(H273-I272&lt;G270,MAXA(I270,G270+I272-H273),0)</f>
        <v>36</v>
      </c>
      <c r="J274" s="331">
        <f>IF(I273-J272&lt;G270,MAXA(I270,G270+J272-I273),0)</f>
        <v>36</v>
      </c>
      <c r="K274" s="331">
        <f>IF(J273-K272&lt;G270,MAXA(I270,G270+K272-J273),0)</f>
        <v>36</v>
      </c>
      <c r="L274" s="331">
        <f>IF(K273-L272&lt;G270,MAXA(I270,G270+L272-K273),0)</f>
        <v>36</v>
      </c>
      <c r="M274" s="331">
        <f>IF(L273-M272&lt;G270,MAXA(I270,G270+M272-L273),0)</f>
        <v>30</v>
      </c>
      <c r="N274" s="331">
        <f>IF(M273-N272&lt;G270,MAXA(I270,G270+N272-M273),0)</f>
        <v>0</v>
      </c>
    </row>
    <row r="275" spans="1:14" ht="12.75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aca="true" t="shared" si="58" ref="C275:J275">ROUND(IF($K270=0,0,(IF($E270=1,D274,IF($E270=2,E274,IF($E270=3,F274,IF($E270=4,G274,0)))))/$K270),0)</f>
        <v>15</v>
      </c>
      <c r="D275" s="331">
        <f t="shared" si="58"/>
        <v>27</v>
      </c>
      <c r="E275" s="331">
        <f t="shared" si="58"/>
        <v>36</v>
      </c>
      <c r="F275" s="331">
        <f t="shared" si="58"/>
        <v>36</v>
      </c>
      <c r="G275" s="331">
        <f t="shared" si="58"/>
        <v>29</v>
      </c>
      <c r="H275" s="331">
        <f t="shared" si="58"/>
        <v>42</v>
      </c>
      <c r="I275" s="331">
        <f t="shared" si="58"/>
        <v>42</v>
      </c>
      <c r="J275" s="331">
        <f t="shared" si="58"/>
        <v>42</v>
      </c>
      <c r="K275" s="331">
        <f>IF($K270=0,0,IF($E270=1,L274/$K270,IF($E270=2,M274/$K270,IF($E270=3,N274/$K270,0))))</f>
        <v>42.35294117647059</v>
      </c>
      <c r="L275" s="331">
        <f>IF($K270=0,0,IF($E270=1,M274/$K270,IF($E270=2,N274/$K270,0)))</f>
        <v>35.294117647058826</v>
      </c>
      <c r="M275" s="331">
        <f>IF($K270=0,0,IF($E270=1,N274/$K270,0))</f>
        <v>0</v>
      </c>
      <c r="N275" s="336"/>
    </row>
    <row r="276" ht="12.75"/>
    <row r="277" spans="2:12" ht="12.75">
      <c r="B277" s="341" t="s">
        <v>43</v>
      </c>
      <c r="C277" s="334">
        <f>'Poliof40 - LIVROB'!$W$941</f>
        <v>97</v>
      </c>
      <c r="D277" s="330" t="s">
        <v>78</v>
      </c>
      <c r="E277" s="444">
        <v>1</v>
      </c>
      <c r="F277" s="329" t="s">
        <v>66</v>
      </c>
      <c r="G277" s="119">
        <v>30</v>
      </c>
      <c r="H277" s="342" t="s">
        <v>67</v>
      </c>
      <c r="I277" s="119">
        <v>1</v>
      </c>
      <c r="J277" s="329" t="s">
        <v>44</v>
      </c>
      <c r="K277" s="335">
        <f>1-'Poliof40 - LIVROB'!$D$563</f>
        <v>0.85</v>
      </c>
      <c r="L277" s="114"/>
    </row>
    <row r="278" spans="1:14" ht="12.75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ht="12.75">
      <c r="A279" s="330" t="s">
        <v>70</v>
      </c>
      <c r="B279" s="336">
        <f>B200+B207+B214</f>
        <v>0</v>
      </c>
      <c r="C279" s="331">
        <f aca="true" t="shared" si="59" ref="C279:N279">C200+C207+C214+C127</f>
        <v>51</v>
      </c>
      <c r="D279" s="331">
        <f t="shared" si="59"/>
        <v>52</v>
      </c>
      <c r="E279" s="331">
        <f t="shared" si="59"/>
        <v>46</v>
      </c>
      <c r="F279" s="331">
        <f t="shared" si="59"/>
        <v>76</v>
      </c>
      <c r="G279" s="331">
        <f t="shared" si="59"/>
        <v>67</v>
      </c>
      <c r="H279" s="331">
        <f t="shared" si="59"/>
        <v>77</v>
      </c>
      <c r="I279" s="331">
        <f t="shared" si="59"/>
        <v>70</v>
      </c>
      <c r="J279" s="331">
        <f t="shared" si="59"/>
        <v>96</v>
      </c>
      <c r="K279" s="331">
        <f t="shared" si="59"/>
        <v>84</v>
      </c>
      <c r="L279" s="331">
        <f t="shared" si="59"/>
        <v>78</v>
      </c>
      <c r="M279" s="331">
        <f t="shared" si="59"/>
        <v>71</v>
      </c>
      <c r="N279" s="331">
        <f t="shared" si="59"/>
        <v>0</v>
      </c>
    </row>
    <row r="280" spans="1:14" ht="12.75">
      <c r="A280" s="330" t="s">
        <v>72</v>
      </c>
      <c r="B280" s="331">
        <f>C277+B281-B279</f>
        <v>97</v>
      </c>
      <c r="C280" s="331">
        <f aca="true" t="shared" si="60" ref="C280:N280">B280+C281-C279</f>
        <v>46</v>
      </c>
      <c r="D280" s="331">
        <f t="shared" si="60"/>
        <v>30</v>
      </c>
      <c r="E280" s="331">
        <f t="shared" si="60"/>
        <v>30</v>
      </c>
      <c r="F280" s="331">
        <f t="shared" si="60"/>
        <v>30</v>
      </c>
      <c r="G280" s="331">
        <f t="shared" si="60"/>
        <v>30</v>
      </c>
      <c r="H280" s="331">
        <f t="shared" si="60"/>
        <v>30</v>
      </c>
      <c r="I280" s="331">
        <f t="shared" si="60"/>
        <v>30</v>
      </c>
      <c r="J280" s="331">
        <f t="shared" si="60"/>
        <v>30</v>
      </c>
      <c r="K280" s="331">
        <f t="shared" si="60"/>
        <v>30</v>
      </c>
      <c r="L280" s="331">
        <f t="shared" si="60"/>
        <v>30</v>
      </c>
      <c r="M280" s="331">
        <f t="shared" si="60"/>
        <v>30</v>
      </c>
      <c r="N280" s="331">
        <f t="shared" si="60"/>
        <v>30</v>
      </c>
    </row>
    <row r="281" spans="1:14" ht="12.75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36</v>
      </c>
      <c r="E281" s="331">
        <f>IF(D280-E279&lt;G277,MAXA(I277,G277+E279-D280),0)</f>
        <v>46</v>
      </c>
      <c r="F281" s="331">
        <f>IF(E280-F279&lt;G277,MAXA(I277,G277+F279-E280),0)</f>
        <v>76</v>
      </c>
      <c r="G281" s="331">
        <f>IF(F280-G279&lt;G277,MAXA(I277,G277+G279-F280),0)</f>
        <v>67</v>
      </c>
      <c r="H281" s="331">
        <f>IF(G280-H279&lt;G277,MAXA(I277,G277+H279-G280),0)</f>
        <v>77</v>
      </c>
      <c r="I281" s="331">
        <f>IF(H280-I279&lt;G277,MAXA(I277,G277+I279-H280),0)</f>
        <v>70</v>
      </c>
      <c r="J281" s="331">
        <f>IF(I280-J279&lt;G277,MAXA(I277,G277+J279-I280),0)</f>
        <v>96</v>
      </c>
      <c r="K281" s="331">
        <f>IF(J280-K279&lt;G277,MAXA(I277,G277+K279-J280),0)</f>
        <v>84</v>
      </c>
      <c r="L281" s="331">
        <f>IF(K280-L279&lt;G277,MAXA(I277,G277+L279-K280),0)</f>
        <v>78</v>
      </c>
      <c r="M281" s="331">
        <f>IF(L280-M279&lt;G277,MAXA(I277,G277+M279-L280),0)</f>
        <v>71</v>
      </c>
      <c r="N281" s="331">
        <f>IF(M280-N279&lt;G277,MAXA(I277,G277+N279-M280),0)</f>
        <v>0</v>
      </c>
    </row>
    <row r="282" spans="1:14" ht="12.75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aca="true" t="shared" si="61" ref="C282:J282">ROUND(IF($K277=0,0,(IF($E277=1,D281,IF($E277=2,E281,IF($E277=3,F281,IF($E277=4,G281,0)))))/$K277),0)</f>
        <v>42</v>
      </c>
      <c r="D282" s="331">
        <f t="shared" si="61"/>
        <v>54</v>
      </c>
      <c r="E282" s="331">
        <f t="shared" si="61"/>
        <v>89</v>
      </c>
      <c r="F282" s="331">
        <f t="shared" si="61"/>
        <v>79</v>
      </c>
      <c r="G282" s="331">
        <f t="shared" si="61"/>
        <v>91</v>
      </c>
      <c r="H282" s="331">
        <f t="shared" si="61"/>
        <v>82</v>
      </c>
      <c r="I282" s="331">
        <f t="shared" si="61"/>
        <v>113</v>
      </c>
      <c r="J282" s="331">
        <f t="shared" si="61"/>
        <v>99</v>
      </c>
      <c r="K282" s="331">
        <f>IF($K277=0,0,IF($E277=1,L281/$K277,IF($E277=2,M281/$K277,IF($E277=3,N281/$K277,0))))</f>
        <v>91.76470588235294</v>
      </c>
      <c r="L282" s="331">
        <f>IF($K277=0,0,IF($E277=1,M281/$K277,IF($E277=2,N281/$K277,0)))</f>
        <v>83.52941176470588</v>
      </c>
      <c r="M282" s="331">
        <f>IF($K277=0,0,IF($E277=1,N281/$K277,0))</f>
        <v>0</v>
      </c>
      <c r="N282" s="336"/>
    </row>
    <row r="283" ht="12.75"/>
    <row r="284" spans="2:12" ht="12.75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>
        <v>50</v>
      </c>
      <c r="H284" s="342" t="s">
        <v>67</v>
      </c>
      <c r="I284" s="119">
        <v>100</v>
      </c>
      <c r="J284" s="329" t="s">
        <v>44</v>
      </c>
      <c r="K284" s="335">
        <f>1-'Poliof40 - LIVROB'!$D$581</f>
        <v>0.95</v>
      </c>
      <c r="L284" s="114"/>
    </row>
    <row r="285" spans="1:14" ht="12.75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ht="12.75">
      <c r="A286" s="330" t="s">
        <v>70</v>
      </c>
      <c r="B286" s="331">
        <f aca="true" t="shared" si="62" ref="B286:N286">0.25*(B261+B275)+0.125*(B268+B282)</f>
        <v>0</v>
      </c>
      <c r="C286" s="331">
        <f t="shared" si="62"/>
        <v>14.75</v>
      </c>
      <c r="D286" s="331">
        <f t="shared" si="62"/>
        <v>24.875</v>
      </c>
      <c r="E286" s="331">
        <f t="shared" si="62"/>
        <v>37.75</v>
      </c>
      <c r="F286" s="331">
        <f t="shared" si="62"/>
        <v>35.125</v>
      </c>
      <c r="G286" s="331">
        <f t="shared" si="62"/>
        <v>33.75</v>
      </c>
      <c r="H286" s="331">
        <f t="shared" si="62"/>
        <v>37.625</v>
      </c>
      <c r="I286" s="331">
        <f t="shared" si="62"/>
        <v>45.375</v>
      </c>
      <c r="J286" s="331">
        <f t="shared" si="62"/>
        <v>41.875</v>
      </c>
      <c r="K286" s="331">
        <f t="shared" si="62"/>
        <v>40.294117647058826</v>
      </c>
      <c r="L286" s="331">
        <f t="shared" si="62"/>
        <v>34.55882352941177</v>
      </c>
      <c r="M286" s="331">
        <f t="shared" si="62"/>
        <v>0</v>
      </c>
      <c r="N286" s="331">
        <f t="shared" si="62"/>
        <v>0</v>
      </c>
    </row>
    <row r="287" spans="1:14" ht="12.75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ht="12.75">
      <c r="A288" s="330" t="s">
        <v>72</v>
      </c>
      <c r="B288" s="331">
        <f>C284+B287+B289-B286</f>
        <v>174</v>
      </c>
      <c r="C288" s="331">
        <f aca="true" t="shared" si="63" ref="C288:N288">B288+C289-C286+C287</f>
        <v>159.25</v>
      </c>
      <c r="D288" s="331">
        <f t="shared" si="63"/>
        <v>134.375</v>
      </c>
      <c r="E288" s="331">
        <f t="shared" si="63"/>
        <v>96.625</v>
      </c>
      <c r="F288" s="331">
        <f t="shared" si="63"/>
        <v>61.5</v>
      </c>
      <c r="G288" s="331">
        <f t="shared" si="63"/>
        <v>127.75</v>
      </c>
      <c r="H288" s="331">
        <f t="shared" si="63"/>
        <v>90.125</v>
      </c>
      <c r="I288" s="331">
        <f t="shared" si="63"/>
        <v>144.75</v>
      </c>
      <c r="J288" s="331">
        <f t="shared" si="63"/>
        <v>102.875</v>
      </c>
      <c r="K288" s="331">
        <f t="shared" si="63"/>
        <v>62.580882352941174</v>
      </c>
      <c r="L288" s="331">
        <f t="shared" si="63"/>
        <v>128.0220588235294</v>
      </c>
      <c r="M288" s="331">
        <f t="shared" si="63"/>
        <v>128.0220588235294</v>
      </c>
      <c r="N288" s="331">
        <f t="shared" si="63"/>
        <v>128.0220588235294</v>
      </c>
    </row>
    <row r="289" spans="1:14" ht="12.75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100</v>
      </c>
      <c r="H289" s="331">
        <f>IF(G288+H287-H286&lt;G284,MAXA(I284,G284+H286-H287-G288),0)</f>
        <v>0</v>
      </c>
      <c r="I289" s="331">
        <f>IF(H288+I287-I286&lt;G284,MAXA(I284,G284+I286-I287-H288),0)</f>
        <v>100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100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14" ht="12.75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105</v>
      </c>
      <c r="E290" s="331">
        <f>ROUND(IF(K284=0,0,(IF(E284=3,H289,IF(E284=1,F289,0)))/K284),0)</f>
        <v>0</v>
      </c>
      <c r="F290" s="331">
        <f>ROUND(IF(K284=0,0,(IF(E284=3,I289,IF(E284=1,G289,0)))/K284),0)</f>
        <v>105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105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ht="12.75"/>
    <row r="292" ht="13.5" thickBot="1"/>
    <row r="293" spans="1:15" s="116" customFormat="1" ht="14.25" thickBot="1" thickTop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2:12" ht="21" thickBot="1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2:8" ht="12.75">
      <c r="B295" s="17"/>
      <c r="C295" s="17"/>
      <c r="D295" s="17"/>
      <c r="E295" s="17"/>
      <c r="F295" s="17"/>
      <c r="G295" s="17"/>
      <c r="H295" s="18"/>
    </row>
    <row r="296" spans="2:4" ht="15.75">
      <c r="B296" s="155" t="s">
        <v>100</v>
      </c>
      <c r="D296" s="113"/>
    </row>
    <row r="297" spans="4:7" ht="6" customHeight="1">
      <c r="D297" s="17"/>
      <c r="E297" s="17"/>
      <c r="F297" s="17"/>
      <c r="G297" s="18"/>
    </row>
    <row r="298" spans="1:13" ht="12.75" hidden="1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t="12.75" hidden="1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t="12.75" hidden="1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14" ht="12.75" hidden="1">
      <c r="A301" s="348"/>
      <c r="B301" s="277"/>
      <c r="C301" s="351">
        <f aca="true" t="shared" si="64" ref="C301:M301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14" ht="12.75" hidden="1">
      <c r="A302" s="348"/>
      <c r="B302" s="277"/>
      <c r="C302" s="351">
        <f aca="true" t="shared" si="65" ref="C302:M302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ht="6" customHeight="1"/>
    <row r="304" spans="1:13" ht="12.75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ht="12.75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ht="12.75">
      <c r="A306" s="349" t="s">
        <v>103</v>
      </c>
      <c r="B306" s="353"/>
      <c r="C306" s="331">
        <f>IF('Poliof40 - LIVROB'!$G$510=1,0,SUM(C341:C342))</f>
        <v>38.95</v>
      </c>
      <c r="D306" s="331">
        <f>IF('Poliof40 - LIVROB'!$G$510=1,0,SUM(D341:D342))</f>
        <v>38.95</v>
      </c>
      <c r="E306" s="331">
        <f>IF('Poliof40 - LIVROB'!$G$510=1,0,SUM(E341:E342))</f>
        <v>30.950000000000003</v>
      </c>
      <c r="F306" s="331">
        <f>IF('Poliof40 - LIVROB'!$G$510=1,0,SUM(F341:F342))</f>
        <v>30.950000000000003</v>
      </c>
      <c r="G306" s="331">
        <f>IF('Poliof40 - LIVROB'!$G$510=1,0,SUM(G341:G342))</f>
        <v>41.620000000000005</v>
      </c>
      <c r="H306" s="331">
        <f>IF('Poliof40 - LIVROB'!$G$510=1,0,SUM(H341:H342))</f>
        <v>41.620000000000005</v>
      </c>
      <c r="I306" s="331">
        <f>IF('Poliof40 - LIVROB'!$G$510=1,0,SUM(I341:I342))</f>
        <v>33.620000000000005</v>
      </c>
      <c r="J306" s="331">
        <f>IF('Poliof40 - LIVROB'!$G$510=1,0,SUM(J341:J342))</f>
        <v>46.96</v>
      </c>
      <c r="K306" s="331">
        <f>IF('Poliof40 - LIVROB'!$G$510=1,0,SUM(K341:K342))</f>
        <v>46.96</v>
      </c>
      <c r="L306" s="331">
        <f>IF('Poliof40 - LIVROB'!$G$510=1,0,SUM(L341:L342))</f>
        <v>46.96</v>
      </c>
      <c r="M306" s="331">
        <f>IF('Poliof40 - LIVROB'!$G$510=1,0,SUM(M341:M342))</f>
        <v>46.96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14" ht="12.75" hidden="1">
      <c r="A307" s="348"/>
      <c r="B307" s="277"/>
      <c r="C307" s="351">
        <f aca="true" t="shared" si="66" ref="C307:M307">IF(C306&gt;$F304,$F304,C306)</f>
        <v>38.95</v>
      </c>
      <c r="D307" s="351">
        <f t="shared" si="66"/>
        <v>38.95</v>
      </c>
      <c r="E307" s="351">
        <f t="shared" si="66"/>
        <v>30.950000000000003</v>
      </c>
      <c r="F307" s="351">
        <f t="shared" si="66"/>
        <v>30.950000000000003</v>
      </c>
      <c r="G307" s="351">
        <f t="shared" si="66"/>
        <v>40</v>
      </c>
      <c r="H307" s="351">
        <f t="shared" si="66"/>
        <v>40</v>
      </c>
      <c r="I307" s="351">
        <f t="shared" si="66"/>
        <v>33.620000000000005</v>
      </c>
      <c r="J307" s="351">
        <f t="shared" si="66"/>
        <v>40</v>
      </c>
      <c r="K307" s="351">
        <f t="shared" si="66"/>
        <v>40</v>
      </c>
      <c r="L307" s="351">
        <f t="shared" si="66"/>
        <v>40</v>
      </c>
      <c r="M307" s="351">
        <f t="shared" si="66"/>
        <v>40</v>
      </c>
      <c r="N307" s="210"/>
    </row>
    <row r="308" spans="1:14" ht="12.75" hidden="1">
      <c r="A308" s="348"/>
      <c r="B308" s="277"/>
      <c r="C308" s="351">
        <f aca="true" t="shared" si="67" ref="C308:M308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1.6200000000000045</v>
      </c>
      <c r="H308" s="351">
        <f t="shared" si="67"/>
        <v>1.6200000000000045</v>
      </c>
      <c r="I308" s="351">
        <f t="shared" si="67"/>
        <v>0</v>
      </c>
      <c r="J308" s="351">
        <f t="shared" si="67"/>
        <v>6.960000000000001</v>
      </c>
      <c r="K308" s="351">
        <f t="shared" si="67"/>
        <v>6.960000000000001</v>
      </c>
      <c r="L308" s="351">
        <f t="shared" si="67"/>
        <v>6.960000000000001</v>
      </c>
      <c r="M308" s="351">
        <f t="shared" si="67"/>
        <v>6.960000000000001</v>
      </c>
      <c r="N308" s="210"/>
    </row>
    <row r="309" ht="6" customHeight="1"/>
    <row r="310" spans="1:13" ht="12.75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ht="12.75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ht="12.75">
      <c r="A312" s="349" t="s">
        <v>103</v>
      </c>
      <c r="B312" s="353"/>
      <c r="C312" s="331">
        <f>IF('Poliof40 - LIVROB'!$G$510=1,0,SUM(C343:C345))</f>
        <v>68.48</v>
      </c>
      <c r="D312" s="331">
        <f>IF('Poliof40 - LIVROB'!$G$510=1,0,SUM(D343:D345))</f>
        <v>65.80000000000001</v>
      </c>
      <c r="E312" s="331">
        <f>IF('Poliof40 - LIVROB'!$G$510=1,0,SUM(E343:E345))</f>
        <v>53.74</v>
      </c>
      <c r="F312" s="331">
        <f>IF('Poliof40 - LIVROB'!$G$510=1,0,SUM(F343:F345))</f>
        <v>45.7</v>
      </c>
      <c r="G312" s="331">
        <f>IF('Poliof40 - LIVROB'!$G$510=1,0,SUM(G343:G345))</f>
        <v>84.78</v>
      </c>
      <c r="H312" s="331">
        <f>IF('Poliof40 - LIVROB'!$G$510=1,0,SUM(H343:H345))</f>
        <v>72.72</v>
      </c>
      <c r="I312" s="331">
        <f>IF('Poliof40 - LIVROB'!$G$510=1,0,SUM(I343:I345))</f>
        <v>75.4</v>
      </c>
      <c r="J312" s="331">
        <f>IF('Poliof40 - LIVROB'!$G$510=1,0,SUM(J343:J345))</f>
        <v>66.02000000000001</v>
      </c>
      <c r="K312" s="331">
        <f>IF('Poliof40 - LIVROB'!$G$510=1,0,SUM(K343:K345))</f>
        <v>98.18</v>
      </c>
      <c r="L312" s="331">
        <f>IF('Poliof40 - LIVROB'!$G$510=1,0,SUM(L343:L345))</f>
        <v>83.44</v>
      </c>
      <c r="M312" s="331">
        <f>IF('Poliof40 - LIVROB'!$G$510=1,0,SUM(M343:M345))</f>
        <v>76.74000000000001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14" ht="12.75" hidden="1">
      <c r="A313" s="348"/>
      <c r="B313" s="277"/>
      <c r="C313" s="108">
        <f aca="true" t="shared" si="68" ref="C313:M313">IF(C312&gt;$F310,$F310,C312)</f>
        <v>68.48</v>
      </c>
      <c r="D313" s="108">
        <f t="shared" si="68"/>
        <v>65.80000000000001</v>
      </c>
      <c r="E313" s="108">
        <f t="shared" si="68"/>
        <v>53.74</v>
      </c>
      <c r="F313" s="108">
        <f t="shared" si="68"/>
        <v>45.7</v>
      </c>
      <c r="G313" s="108">
        <f t="shared" si="68"/>
        <v>80</v>
      </c>
      <c r="H313" s="108">
        <f t="shared" si="68"/>
        <v>72.72</v>
      </c>
      <c r="I313" s="108">
        <f t="shared" si="68"/>
        <v>75.4</v>
      </c>
      <c r="J313" s="108">
        <f t="shared" si="68"/>
        <v>66.02000000000001</v>
      </c>
      <c r="K313" s="108">
        <f t="shared" si="68"/>
        <v>80</v>
      </c>
      <c r="L313" s="108">
        <f t="shared" si="68"/>
        <v>80</v>
      </c>
      <c r="M313" s="108">
        <f t="shared" si="68"/>
        <v>76.74000000000001</v>
      </c>
      <c r="N313" s="210"/>
    </row>
    <row r="314" spans="1:14" ht="12.75" hidden="1">
      <c r="A314" s="348"/>
      <c r="B314" s="277"/>
      <c r="C314" s="108">
        <f aca="true" t="shared" si="69" ref="C314:M314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4.780000000000001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18.180000000000007</v>
      </c>
      <c r="L314" s="108">
        <f t="shared" si="69"/>
        <v>3.4399999999999977</v>
      </c>
      <c r="M314" s="108">
        <f t="shared" si="69"/>
        <v>0</v>
      </c>
      <c r="N314" s="210"/>
    </row>
    <row r="315" ht="12.75"/>
    <row r="316" spans="2:14" ht="15.75">
      <c r="B316" s="155" t="s">
        <v>106</v>
      </c>
      <c r="C316" s="113"/>
      <c r="N316" s="16" t="s">
        <v>0</v>
      </c>
    </row>
    <row r="317" spans="3:14" ht="6" customHeight="1">
      <c r="C317" s="16"/>
      <c r="D317" s="17"/>
      <c r="E317" s="17"/>
      <c r="F317" s="17"/>
      <c r="G317" s="17"/>
      <c r="H317" s="18"/>
      <c r="N317" s="16" t="s">
        <v>0</v>
      </c>
    </row>
    <row r="318" spans="1:14" ht="12.75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ht="12.75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14" ht="12.75" hidden="1">
      <c r="A320" s="357"/>
      <c r="B320" s="108">
        <f aca="true" t="shared" si="70" ref="B320:M320">IF(B322&gt;$F318,$F318,B322)</f>
        <v>0</v>
      </c>
      <c r="C320" s="108">
        <f t="shared" si="70"/>
        <v>91.22</v>
      </c>
      <c r="D320" s="108">
        <f t="shared" si="70"/>
        <v>95.87</v>
      </c>
      <c r="E320" s="108">
        <f t="shared" si="70"/>
        <v>87.89</v>
      </c>
      <c r="F320" s="108">
        <f t="shared" si="70"/>
        <v>140.46</v>
      </c>
      <c r="G320" s="108">
        <f t="shared" si="70"/>
        <v>128.49</v>
      </c>
      <c r="H320" s="108">
        <f t="shared" si="70"/>
        <v>121.15</v>
      </c>
      <c r="I320" s="108">
        <f t="shared" si="70"/>
        <v>130.51</v>
      </c>
      <c r="J320" s="108">
        <f t="shared" si="70"/>
        <v>160</v>
      </c>
      <c r="K320" s="108">
        <f t="shared" si="70"/>
        <v>149.13</v>
      </c>
      <c r="L320" s="108">
        <f t="shared" si="70"/>
        <v>142.48000000000002</v>
      </c>
      <c r="M320" s="108">
        <f t="shared" si="70"/>
        <v>119.84</v>
      </c>
      <c r="N320" s="210"/>
    </row>
    <row r="321" spans="1:14" ht="12.75" hidden="1">
      <c r="A321" s="357"/>
      <c r="B321" s="108">
        <f aca="true" t="shared" si="71" ref="B321:M32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5.090000000000003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ht="12.75">
      <c r="A322" s="349" t="s">
        <v>103</v>
      </c>
      <c r="B322" s="331">
        <f aca="true" t="shared" si="72" ref="B322:M322">B351</f>
        <v>0</v>
      </c>
      <c r="C322" s="331">
        <f t="shared" si="72"/>
        <v>91.22</v>
      </c>
      <c r="D322" s="331">
        <f t="shared" si="72"/>
        <v>95.87</v>
      </c>
      <c r="E322" s="331">
        <f t="shared" si="72"/>
        <v>87.89</v>
      </c>
      <c r="F322" s="331">
        <f t="shared" si="72"/>
        <v>140.46</v>
      </c>
      <c r="G322" s="331">
        <f t="shared" si="72"/>
        <v>128.49</v>
      </c>
      <c r="H322" s="331">
        <f t="shared" si="72"/>
        <v>121.15</v>
      </c>
      <c r="I322" s="331">
        <f t="shared" si="72"/>
        <v>130.51</v>
      </c>
      <c r="J322" s="331">
        <f t="shared" si="72"/>
        <v>165.09</v>
      </c>
      <c r="K322" s="331">
        <f t="shared" si="72"/>
        <v>149.13</v>
      </c>
      <c r="L322" s="331">
        <f t="shared" si="72"/>
        <v>142.48000000000002</v>
      </c>
      <c r="M322" s="331">
        <f t="shared" si="72"/>
        <v>119.84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ht="6" customHeight="1"/>
    <row r="324" spans="1:14" ht="12.75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ht="12.75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14" ht="12.75" hidden="1">
      <c r="A326" s="357"/>
      <c r="B326" s="108">
        <f aca="true" t="shared" si="73" ref="B326:M326">IF(B328&gt;$F324,$F324,B328)</f>
        <v>0</v>
      </c>
      <c r="C326" s="108">
        <f t="shared" si="73"/>
        <v>148.70999999999998</v>
      </c>
      <c r="D326" s="108">
        <f t="shared" si="73"/>
        <v>141.94000000000003</v>
      </c>
      <c r="E326" s="108">
        <f t="shared" si="73"/>
        <v>133.84</v>
      </c>
      <c r="F326" s="108">
        <f t="shared" si="73"/>
        <v>160</v>
      </c>
      <c r="G326" s="108">
        <f t="shared" si="73"/>
        <v>160</v>
      </c>
      <c r="H326" s="108">
        <f t="shared" si="73"/>
        <v>160</v>
      </c>
      <c r="I326" s="108">
        <f t="shared" si="73"/>
        <v>160</v>
      </c>
      <c r="J326" s="108">
        <f t="shared" si="73"/>
        <v>160</v>
      </c>
      <c r="K326" s="108">
        <f t="shared" si="73"/>
        <v>160</v>
      </c>
      <c r="L326" s="108">
        <f t="shared" si="73"/>
        <v>160</v>
      </c>
      <c r="M326" s="108">
        <f t="shared" si="73"/>
        <v>160</v>
      </c>
      <c r="N326" s="210"/>
    </row>
    <row r="327" spans="1:14" ht="12.75" hidden="1">
      <c r="A327" s="357"/>
      <c r="B327" s="108">
        <f aca="true" t="shared" si="74" ref="B327:M327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38.26000000000002</v>
      </c>
      <c r="G327" s="108">
        <f t="shared" si="74"/>
        <v>26.110000000000014</v>
      </c>
      <c r="H327" s="108">
        <f t="shared" si="74"/>
        <v>23.590000000000003</v>
      </c>
      <c r="I327" s="108">
        <f t="shared" si="74"/>
        <v>46.16</v>
      </c>
      <c r="J327" s="108">
        <f t="shared" si="74"/>
        <v>81.26000000000002</v>
      </c>
      <c r="K327" s="108">
        <f t="shared" si="74"/>
        <v>65.06</v>
      </c>
      <c r="L327" s="108">
        <f t="shared" si="74"/>
        <v>56.96000000000001</v>
      </c>
      <c r="M327" s="108">
        <f t="shared" si="74"/>
        <v>31.49000000000001</v>
      </c>
      <c r="N327" s="210"/>
    </row>
    <row r="328" spans="1:37" ht="12.75">
      <c r="A328" s="349" t="s">
        <v>103</v>
      </c>
      <c r="B328" s="331">
        <f aca="true" t="shared" si="75" ref="B328:M328">B361</f>
        <v>0</v>
      </c>
      <c r="C328" s="331">
        <f t="shared" si="75"/>
        <v>148.70999999999998</v>
      </c>
      <c r="D328" s="331">
        <f t="shared" si="75"/>
        <v>141.94000000000003</v>
      </c>
      <c r="E328" s="331">
        <f t="shared" si="75"/>
        <v>133.84</v>
      </c>
      <c r="F328" s="331">
        <f t="shared" si="75"/>
        <v>198.26000000000002</v>
      </c>
      <c r="G328" s="331">
        <f t="shared" si="75"/>
        <v>186.11</v>
      </c>
      <c r="H328" s="331">
        <f t="shared" si="75"/>
        <v>183.59</v>
      </c>
      <c r="I328" s="331">
        <f t="shared" si="75"/>
        <v>206.16</v>
      </c>
      <c r="J328" s="331">
        <f t="shared" si="75"/>
        <v>241.26000000000002</v>
      </c>
      <c r="K328" s="331">
        <f t="shared" si="75"/>
        <v>225.06</v>
      </c>
      <c r="L328" s="331">
        <f t="shared" si="75"/>
        <v>216.96</v>
      </c>
      <c r="M328" s="331">
        <f t="shared" si="75"/>
        <v>191.49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ht="12.75"/>
    <row r="330" spans="2:4" ht="15.75">
      <c r="B330" s="155" t="s">
        <v>110</v>
      </c>
      <c r="D330" s="113"/>
    </row>
    <row r="331" spans="4:14" ht="6" customHeight="1">
      <c r="D331" s="17"/>
      <c r="E331" s="17"/>
      <c r="F331" s="17"/>
      <c r="G331" s="18"/>
      <c r="N331" s="16" t="s">
        <v>0</v>
      </c>
    </row>
    <row r="332" spans="1:14" ht="12.75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ht="12.75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14" ht="12.75" hidden="1">
      <c r="A334" s="357"/>
      <c r="B334" s="108">
        <f aca="true" t="shared" si="76" ref="B334:M334">IF(B336&gt;$F332,$F332,B336)</f>
        <v>0</v>
      </c>
      <c r="C334" s="108">
        <f t="shared" si="76"/>
        <v>23.13</v>
      </c>
      <c r="D334" s="108">
        <f t="shared" si="76"/>
        <v>37.620000000000005</v>
      </c>
      <c r="E334" s="108">
        <f t="shared" si="76"/>
        <v>40</v>
      </c>
      <c r="F334" s="108">
        <f t="shared" si="76"/>
        <v>40</v>
      </c>
      <c r="G334" s="108">
        <f t="shared" si="76"/>
        <v>40</v>
      </c>
      <c r="H334" s="108">
        <f t="shared" si="76"/>
        <v>40</v>
      </c>
      <c r="I334" s="108">
        <f t="shared" si="76"/>
        <v>40</v>
      </c>
      <c r="J334" s="108">
        <f t="shared" si="76"/>
        <v>40</v>
      </c>
      <c r="K334" s="108">
        <f t="shared" si="76"/>
        <v>40</v>
      </c>
      <c r="L334" s="108">
        <f t="shared" si="76"/>
        <v>40</v>
      </c>
      <c r="M334" s="108">
        <f t="shared" si="76"/>
        <v>0</v>
      </c>
      <c r="N334" s="210"/>
    </row>
    <row r="335" spans="1:14" ht="12.75" hidden="1">
      <c r="A335" s="357"/>
      <c r="B335" s="108">
        <f aca="true" t="shared" si="77" ref="B335:M335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17.760000000000005</v>
      </c>
      <c r="F335" s="108">
        <f t="shared" si="77"/>
        <v>13.39</v>
      </c>
      <c r="G335" s="108">
        <f t="shared" si="77"/>
        <v>12.61</v>
      </c>
      <c r="H335" s="108">
        <f t="shared" si="77"/>
        <v>16.910000000000004</v>
      </c>
      <c r="I335" s="108">
        <f t="shared" si="77"/>
        <v>29.930000000000007</v>
      </c>
      <c r="J335" s="108">
        <f t="shared" si="77"/>
        <v>24.05000000000001</v>
      </c>
      <c r="K335" s="108">
        <f t="shared" si="77"/>
        <v>21.28</v>
      </c>
      <c r="L335" s="108">
        <f t="shared" si="77"/>
        <v>12.960000000000008</v>
      </c>
      <c r="M335" s="108">
        <f t="shared" si="77"/>
        <v>0</v>
      </c>
      <c r="N335" s="210"/>
    </row>
    <row r="336" spans="1:37" ht="12.75">
      <c r="A336" s="349" t="s">
        <v>103</v>
      </c>
      <c r="B336" s="331">
        <f aca="true" t="shared" si="78" ref="B336:M336">B368</f>
        <v>0</v>
      </c>
      <c r="C336" s="331">
        <f t="shared" si="78"/>
        <v>23.13</v>
      </c>
      <c r="D336" s="331">
        <f t="shared" si="78"/>
        <v>37.620000000000005</v>
      </c>
      <c r="E336" s="331">
        <f t="shared" si="78"/>
        <v>57.760000000000005</v>
      </c>
      <c r="F336" s="331">
        <f t="shared" si="78"/>
        <v>53.39</v>
      </c>
      <c r="G336" s="331">
        <f t="shared" si="78"/>
        <v>52.61</v>
      </c>
      <c r="H336" s="331">
        <f t="shared" si="78"/>
        <v>56.910000000000004</v>
      </c>
      <c r="I336" s="331">
        <f t="shared" si="78"/>
        <v>69.93</v>
      </c>
      <c r="J336" s="331">
        <f t="shared" si="78"/>
        <v>64.05000000000001</v>
      </c>
      <c r="K336" s="331">
        <f t="shared" si="78"/>
        <v>61.28</v>
      </c>
      <c r="L336" s="331">
        <f t="shared" si="78"/>
        <v>52.96000000000001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ht="12.75"/>
    <row r="338" spans="2:5" ht="20.25">
      <c r="B338" s="163" t="s">
        <v>112</v>
      </c>
      <c r="C338" s="16"/>
      <c r="D338" s="16"/>
      <c r="E338" s="16"/>
    </row>
    <row r="339" spans="2:8" ht="12.75">
      <c r="B339" s="17"/>
      <c r="C339" s="17"/>
      <c r="D339" s="17"/>
      <c r="E339" s="17"/>
      <c r="F339" s="17"/>
      <c r="G339" s="17"/>
      <c r="H339" s="18"/>
    </row>
    <row r="340" spans="1:13" ht="12.75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3" ht="12.75">
      <c r="A341" s="358" t="s">
        <v>114</v>
      </c>
      <c r="B341" s="359"/>
      <c r="C341" s="331">
        <f>C85*'Poliof40 - LIVROB'!$F$537</f>
        <v>25.6</v>
      </c>
      <c r="D341" s="331">
        <f>D85*'Poliof40 - LIVROB'!$F$537</f>
        <v>25.6</v>
      </c>
      <c r="E341" s="331">
        <f>E85*'Poliof40 - LIVROB'!$F$537</f>
        <v>17.6</v>
      </c>
      <c r="F341" s="331">
        <f>F85*'Poliof40 - LIVROB'!$F$537</f>
        <v>17.6</v>
      </c>
      <c r="G341" s="331">
        <f>G85*'Poliof40 - LIVROB'!$F$537</f>
        <v>25.6</v>
      </c>
      <c r="H341" s="331">
        <f>H85*'Poliof40 - LIVROB'!$F$537</f>
        <v>25.6</v>
      </c>
      <c r="I341" s="331">
        <f>I85*'Poliof40 - LIVROB'!$F$537</f>
        <v>17.6</v>
      </c>
      <c r="J341" s="331">
        <f>J85*'Poliof40 - LIVROB'!$F$537</f>
        <v>25.6</v>
      </c>
      <c r="K341" s="331">
        <f>K85*'Poliof40 - LIVROB'!$F$537</f>
        <v>25.6</v>
      </c>
      <c r="L341" s="331">
        <f>L85*'Poliof40 - LIVROB'!$F$537</f>
        <v>25.6</v>
      </c>
      <c r="M341" s="331">
        <f>M85*'Poliof40 - LIVROB'!$F$537</f>
        <v>25.6</v>
      </c>
    </row>
    <row r="342" spans="1:14" ht="12.75">
      <c r="A342" s="358" t="s">
        <v>115</v>
      </c>
      <c r="B342" s="359"/>
      <c r="C342" s="331">
        <f>C92*'Poliof40 - LIVROB'!$F$538</f>
        <v>13.35</v>
      </c>
      <c r="D342" s="331">
        <f>D92*'Poliof40 - LIVROB'!$F$538</f>
        <v>13.35</v>
      </c>
      <c r="E342" s="331">
        <f>E92*'Poliof40 - LIVROB'!$F$538</f>
        <v>13.35</v>
      </c>
      <c r="F342" s="331">
        <f>F92*'Poliof40 - LIVROB'!$F$538</f>
        <v>13.35</v>
      </c>
      <c r="G342" s="331">
        <f>G92*'Poliof40 - LIVROB'!$F$538</f>
        <v>16.02</v>
      </c>
      <c r="H342" s="331">
        <f>H92*'Poliof40 - LIVROB'!$F$538</f>
        <v>16.02</v>
      </c>
      <c r="I342" s="331">
        <f>I92*'Poliof40 - LIVROB'!$F$538</f>
        <v>16.02</v>
      </c>
      <c r="J342" s="331">
        <f>J92*'Poliof40 - LIVROB'!$F$538</f>
        <v>21.36</v>
      </c>
      <c r="K342" s="331">
        <f>K92*'Poliof40 - LIVROB'!$F$538</f>
        <v>21.36</v>
      </c>
      <c r="L342" s="331">
        <f>L92*'Poliof40 - LIVROB'!$F$538</f>
        <v>21.36</v>
      </c>
      <c r="M342" s="331">
        <f>M92*'Poliof40 - LIVROB'!$F$538</f>
        <v>21.36</v>
      </c>
      <c r="N342" s="15"/>
    </row>
    <row r="343" spans="1:13" ht="12.75">
      <c r="A343" s="358" t="s">
        <v>116</v>
      </c>
      <c r="B343" s="359"/>
      <c r="C343" s="331">
        <f>C99*'Poliof40 - LIVROB'!$F$539</f>
        <v>29.48</v>
      </c>
      <c r="D343" s="331">
        <f>D99*'Poliof40 - LIVROB'!$F$539</f>
        <v>26.8</v>
      </c>
      <c r="E343" s="331">
        <f>E99*'Poliof40 - LIVROB'!$F$539</f>
        <v>14.74</v>
      </c>
      <c r="F343" s="331">
        <f>F99*'Poliof40 - LIVROB'!$F$539</f>
        <v>6.7</v>
      </c>
      <c r="G343" s="331">
        <f>G99*'Poliof40 - LIVROB'!$F$539</f>
        <v>36.18</v>
      </c>
      <c r="H343" s="331">
        <f>H99*'Poliof40 - LIVROB'!$F$539</f>
        <v>22.78</v>
      </c>
      <c r="I343" s="331">
        <f>I99*'Poliof40 - LIVROB'!$F$539</f>
        <v>16.080000000000002</v>
      </c>
      <c r="J343" s="331">
        <f>J99*'Poliof40 - LIVROB'!$F$539</f>
        <v>6.7</v>
      </c>
      <c r="K343" s="331">
        <f>K99*'Poliof40 - LIVROB'!$F$539</f>
        <v>38.86</v>
      </c>
      <c r="L343" s="331">
        <f>L99*'Poliof40 - LIVROB'!$F$539</f>
        <v>24.12</v>
      </c>
      <c r="M343" s="331">
        <f>M99*'Poliof40 - LIVROB'!$F$539</f>
        <v>17.42</v>
      </c>
    </row>
    <row r="344" spans="1:13" ht="12.75">
      <c r="A344" s="358" t="s">
        <v>117</v>
      </c>
      <c r="B344" s="359"/>
      <c r="C344" s="331">
        <f>C106*'Poliof40 - LIVROB'!$F$540</f>
        <v>13.4</v>
      </c>
      <c r="D344" s="331">
        <f>D106*'Poliof40 - LIVROB'!$F$540</f>
        <v>13.4</v>
      </c>
      <c r="E344" s="331">
        <f>E106*'Poliof40 - LIVROB'!$F$540</f>
        <v>13.4</v>
      </c>
      <c r="F344" s="331">
        <f>F106*'Poliof40 - LIVROB'!$F$540</f>
        <v>13.4</v>
      </c>
      <c r="G344" s="331">
        <f>G106*'Poliof40 - LIVROB'!$F$540</f>
        <v>13.4</v>
      </c>
      <c r="H344" s="331">
        <f>H106*'Poliof40 - LIVROB'!$F$540</f>
        <v>14.74</v>
      </c>
      <c r="I344" s="331">
        <f>I106*'Poliof40 - LIVROB'!$F$540</f>
        <v>24.12</v>
      </c>
      <c r="J344" s="331">
        <f>J106*'Poliof40 - LIVROB'!$F$540</f>
        <v>24.12</v>
      </c>
      <c r="K344" s="331">
        <f>K106*'Poliof40 - LIVROB'!$F$540</f>
        <v>24.12</v>
      </c>
      <c r="L344" s="331">
        <f>L106*'Poliof40 - LIVROB'!$F$540</f>
        <v>24.12</v>
      </c>
      <c r="M344" s="331">
        <f>M106*'Poliof40 - LIVROB'!$F$540</f>
        <v>24.12</v>
      </c>
    </row>
    <row r="345" spans="1:13" ht="12.75">
      <c r="A345" s="358" t="s">
        <v>118</v>
      </c>
      <c r="B345" s="359"/>
      <c r="C345" s="331">
        <f>C113*'Poliof40 - LIVROB'!$F$541</f>
        <v>25.6</v>
      </c>
      <c r="D345" s="331">
        <f>D113*'Poliof40 - LIVROB'!$F$541</f>
        <v>25.6</v>
      </c>
      <c r="E345" s="331">
        <f>E113*'Poliof40 - LIVROB'!$F$541</f>
        <v>25.6</v>
      </c>
      <c r="F345" s="331">
        <f>F113*'Poliof40 - LIVROB'!$F$541</f>
        <v>25.6</v>
      </c>
      <c r="G345" s="331">
        <f>G113*'Poliof40 - LIVROB'!$F$541</f>
        <v>35.2</v>
      </c>
      <c r="H345" s="331">
        <f>H113*'Poliof40 - LIVROB'!$F$541</f>
        <v>35.2</v>
      </c>
      <c r="I345" s="331">
        <f>I113*'Poliof40 - LIVROB'!$F$541</f>
        <v>35.2</v>
      </c>
      <c r="J345" s="331">
        <f>J113*'Poliof40 - LIVROB'!$F$541</f>
        <v>35.2</v>
      </c>
      <c r="K345" s="331">
        <f>K113*'Poliof40 - LIVROB'!$F$541</f>
        <v>35.2</v>
      </c>
      <c r="L345" s="331">
        <f>L113*'Poliof40 - LIVROB'!$F$541</f>
        <v>35.2</v>
      </c>
      <c r="M345" s="331">
        <f>M113*'Poliof40 - LIVROB'!$F$541</f>
        <v>35.2</v>
      </c>
    </row>
    <row r="346" spans="1:13" ht="12.75">
      <c r="A346" s="358" t="s">
        <v>119</v>
      </c>
      <c r="B346" s="359"/>
      <c r="C346" s="331">
        <f aca="true" t="shared" si="79" ref="C346:M346">SUM(C341:C345)</f>
        <v>107.43</v>
      </c>
      <c r="D346" s="331">
        <f t="shared" si="79"/>
        <v>104.75</v>
      </c>
      <c r="E346" s="331">
        <f t="shared" si="79"/>
        <v>84.69</v>
      </c>
      <c r="F346" s="331">
        <f t="shared" si="79"/>
        <v>76.65</v>
      </c>
      <c r="G346" s="331">
        <f t="shared" si="79"/>
        <v>126.40000000000002</v>
      </c>
      <c r="H346" s="331">
        <f t="shared" si="79"/>
        <v>114.34</v>
      </c>
      <c r="I346" s="331">
        <f t="shared" si="79"/>
        <v>109.02000000000001</v>
      </c>
      <c r="J346" s="331">
        <f t="shared" si="79"/>
        <v>112.98</v>
      </c>
      <c r="K346" s="331">
        <f t="shared" si="79"/>
        <v>145.14</v>
      </c>
      <c r="L346" s="331">
        <f t="shared" si="79"/>
        <v>130.4</v>
      </c>
      <c r="M346" s="331">
        <f t="shared" si="79"/>
        <v>123.7</v>
      </c>
    </row>
    <row r="347" ht="12.75"/>
    <row r="348" spans="1:13" ht="12.75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ht="12.75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46</v>
      </c>
      <c r="D349" s="331">
        <f>IF($K165=0,0,ROUND(E170/$K165,0))*'Poliof40 - LIVROB'!$F$551</f>
        <v>44</v>
      </c>
      <c r="E349" s="331">
        <f>IF($K165=0,0,ROUND(F170/$K165,0))*'Poliof40 - LIVROB'!$F$551</f>
        <v>44</v>
      </c>
      <c r="F349" s="331">
        <f>IF($K165=0,0,ROUND(G170/$K165,0))*'Poliof40 - LIVROB'!$F$551</f>
        <v>58</v>
      </c>
      <c r="G349" s="331">
        <f>IF($K165=0,0,ROUND(H170/$K165,0))*'Poliof40 - LIVROB'!$F$551</f>
        <v>58</v>
      </c>
      <c r="H349" s="331">
        <f>IF($K165=0,0,ROUND(I170/$K165,0))*'Poliof40 - LIVROB'!$F$551</f>
        <v>48</v>
      </c>
      <c r="I349" s="331">
        <f>IF($K165=0,0,ROUND(J170/$K165,0))*'Poliof40 - LIVROB'!$F$551</f>
        <v>68</v>
      </c>
      <c r="J349" s="331">
        <f>IF($K165=0,0,ROUND(K170/$K165,0))*'Poliof40 - LIVROB'!$F$551</f>
        <v>68</v>
      </c>
      <c r="K349" s="331">
        <f>IF($K165=0,0,ROUND(L170/$K165,0))*'Poliof40 - LIVROB'!$F$551</f>
        <v>68</v>
      </c>
      <c r="L349" s="331">
        <f>IF($K165=0,0,ROUND(M170/$K165,0))*'Poliof40 - LIVROB'!$F$551</f>
        <v>68</v>
      </c>
      <c r="M349" s="331">
        <f>IF($K165=0,0,ROUND(N170/$K165,0))*'Poliof40 - LIVROB'!$F$551</f>
        <v>56</v>
      </c>
      <c r="N349" s="16" t="s">
        <v>0</v>
      </c>
    </row>
    <row r="350" spans="1:14" ht="12.75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45.22</v>
      </c>
      <c r="D350" s="331">
        <f>IF($K173=0,0,ROUND(E178/$K173,0))*'Poliof40 - LIVROB'!$F$552</f>
        <v>51.870000000000005</v>
      </c>
      <c r="E350" s="331">
        <f>IF($K173=0,0,ROUND(F178/$K173,0))*'Poliof40 - LIVROB'!$F$552</f>
        <v>43.89</v>
      </c>
      <c r="F350" s="331">
        <f>IF($K173=0,0,ROUND(G178/$K173,0))*'Poliof40 - LIVROB'!$F$552</f>
        <v>82.46000000000001</v>
      </c>
      <c r="G350" s="331">
        <f>IF($K173=0,0,ROUND(H178/$K173,0))*'Poliof40 - LIVROB'!$F$552</f>
        <v>70.49000000000001</v>
      </c>
      <c r="H350" s="331">
        <f>IF($K173=0,0,ROUND(I178/$K173,0))*'Poliof40 - LIVROB'!$F$552</f>
        <v>73.15</v>
      </c>
      <c r="I350" s="331">
        <f>IF($K173=0,0,ROUND(J178/$K173,0))*'Poliof40 - LIVROB'!$F$552</f>
        <v>62.510000000000005</v>
      </c>
      <c r="J350" s="331">
        <f>IF($K173=0,0,ROUND(K178/$K173,0))*'Poliof40 - LIVROB'!$F$552</f>
        <v>97.09</v>
      </c>
      <c r="K350" s="331">
        <f>IF($K173=0,0,ROUND(L178/$K173,0))*'Poliof40 - LIVROB'!$F$552</f>
        <v>81.13000000000001</v>
      </c>
      <c r="L350" s="331">
        <f>IF($K173=0,0,ROUND(M178/$K173,0))*'Poliof40 - LIVROB'!$F$552</f>
        <v>74.48</v>
      </c>
      <c r="M350" s="331">
        <f>IF($K173=0,0,ROUND(N178/$K173,0))*'Poliof40 - LIVROB'!$F$552</f>
        <v>63.84</v>
      </c>
      <c r="N350" s="15"/>
    </row>
    <row r="351" spans="1:13" ht="12.75">
      <c r="A351" s="330" t="s">
        <v>122</v>
      </c>
      <c r="B351" s="331">
        <f aca="true" t="shared" si="80" ref="B351:M351">SUM(B349:B350)</f>
        <v>0</v>
      </c>
      <c r="C351" s="331">
        <f t="shared" si="80"/>
        <v>91.22</v>
      </c>
      <c r="D351" s="331">
        <f t="shared" si="80"/>
        <v>95.87</v>
      </c>
      <c r="E351" s="331">
        <f t="shared" si="80"/>
        <v>87.89</v>
      </c>
      <c r="F351" s="331">
        <f t="shared" si="80"/>
        <v>140.46</v>
      </c>
      <c r="G351" s="331">
        <f t="shared" si="80"/>
        <v>128.49</v>
      </c>
      <c r="H351" s="331">
        <f t="shared" si="80"/>
        <v>121.15</v>
      </c>
      <c r="I351" s="331">
        <f t="shared" si="80"/>
        <v>130.51</v>
      </c>
      <c r="J351" s="331">
        <f t="shared" si="80"/>
        <v>165.09</v>
      </c>
      <c r="K351" s="331">
        <f t="shared" si="80"/>
        <v>149.13</v>
      </c>
      <c r="L351" s="331">
        <f t="shared" si="80"/>
        <v>142.48000000000002</v>
      </c>
      <c r="M351" s="331">
        <f t="shared" si="80"/>
        <v>119.84</v>
      </c>
    </row>
    <row r="352" ht="12.75"/>
    <row r="353" spans="1:13" ht="12.75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3" ht="12.75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48.06</v>
      </c>
      <c r="D354" s="331">
        <f>IF($K181=0,0,ROUND(E185/$K181,0))*'Poliof40 - LIVROB'!$F$554</f>
        <v>32.04</v>
      </c>
      <c r="E354" s="331">
        <f>IF($K181=0,0,ROUND(F185/$K181,0))*'Poliof40 - LIVROB'!$F$554</f>
        <v>32.04</v>
      </c>
      <c r="F354" s="331">
        <f>IF($K181=0,0,ROUND(G185/$K181,0))*'Poliof40 - LIVROB'!$F$554</f>
        <v>48.06</v>
      </c>
      <c r="G354" s="331">
        <f>IF($K181=0,0,ROUND(H185/$K181,0))*'Poliof40 - LIVROB'!$F$554</f>
        <v>48.06</v>
      </c>
      <c r="H354" s="331">
        <f>IF($K181=0,0,ROUND(I185/$K181,0))*'Poliof40 - LIVROB'!$F$554</f>
        <v>32.04</v>
      </c>
      <c r="I354" s="331">
        <f>IF($K181=0,0,ROUND(J185/$K181,0))*'Poliof40 - LIVROB'!$F$554</f>
        <v>48.06</v>
      </c>
      <c r="J354" s="331">
        <f>IF($K181=0,0,ROUND(K185/$K181,0))*'Poliof40 - LIVROB'!$F$554</f>
        <v>48.06</v>
      </c>
      <c r="K354" s="331">
        <f>IF($K181=0,0,ROUND(L185/$K181,0))*'Poliof40 - LIVROB'!$F$554</f>
        <v>48.06</v>
      </c>
      <c r="L354" s="331">
        <f>IF($K181=0,0,ROUND(M185/$K181,0))*'Poliof40 - LIVROB'!$F$554</f>
        <v>48.06</v>
      </c>
      <c r="M354" s="331">
        <f>IF($K181=0,0,ROUND(N185/$K181,0))*'Poliof40 - LIVROB'!$F$554</f>
        <v>32.04</v>
      </c>
    </row>
    <row r="355" spans="1:13" ht="12.75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28.8</v>
      </c>
      <c r="D355" s="331">
        <f>IF($K188=0,0,ROUND(E192/$K188,0))*'Poliof40 - LIVROB'!$F$555</f>
        <v>35.2</v>
      </c>
      <c r="E355" s="331">
        <f>IF($K188=0,0,ROUND(F192/$K188,0))*'Poliof40 - LIVROB'!$F$555</f>
        <v>35.2</v>
      </c>
      <c r="F355" s="331">
        <f>IF($K188=0,0,ROUND(G192/$K188,0))*'Poliof40 - LIVROB'!$F$555</f>
        <v>41.6</v>
      </c>
      <c r="G355" s="331">
        <f>IF($K188=0,0,ROUND(H192/$K188,0))*'Poliof40 - LIVROB'!$F$555</f>
        <v>41.6</v>
      </c>
      <c r="H355" s="331">
        <f>IF($K188=0,0,ROUND(I192/$K188,0))*'Poliof40 - LIVROB'!$F$555</f>
        <v>41.6</v>
      </c>
      <c r="I355" s="331">
        <f>IF($K188=0,0,ROUND(J192/$K188,0))*'Poliof40 - LIVROB'!$F$555</f>
        <v>57.6</v>
      </c>
      <c r="J355" s="331">
        <f>IF($K188=0,0,ROUND(K192/$K188,0))*'Poliof40 - LIVROB'!$F$555</f>
        <v>57.6</v>
      </c>
      <c r="K355" s="331">
        <f>IF($K188=0,0,ROUND(L192/$K188,0))*'Poliof40 - LIVROB'!$F$555</f>
        <v>57.6</v>
      </c>
      <c r="L355" s="331">
        <f>IF($K188=0,0,ROUND(M192/$K188,0))*'Poliof40 - LIVROB'!$F$555</f>
        <v>57.6</v>
      </c>
      <c r="M355" s="331">
        <f>IF($K188=0,0,ROUND(N192/$K188,0))*'Poliof40 - LIVROB'!$F$555</f>
        <v>57.6</v>
      </c>
    </row>
    <row r="356" spans="1:13" ht="12.75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22.950000000000003</v>
      </c>
      <c r="D356" s="331">
        <f>IF($K195=0,0,ROUND(E199/$K195,0))*'Poliof40 - LIVROB'!$F$556</f>
        <v>16.200000000000003</v>
      </c>
      <c r="E356" s="331">
        <f>IF($K195=0,0,ROUND(F199/$K195,0))*'Poliof40 - LIVROB'!$F$556</f>
        <v>8.100000000000001</v>
      </c>
      <c r="F356" s="331">
        <f>IF($K195=0,0,ROUND(G199/$K195,0))*'Poliof40 - LIVROB'!$F$556</f>
        <v>40.5</v>
      </c>
      <c r="G356" s="331">
        <f>IF($K195=0,0,ROUND(H199/$K195,0))*'Poliof40 - LIVROB'!$F$556</f>
        <v>25.650000000000002</v>
      </c>
      <c r="H356" s="331">
        <f>IF($K195=0,0,ROUND(I199/$K195,0))*'Poliof40 - LIVROB'!$F$556</f>
        <v>17.55</v>
      </c>
      <c r="I356" s="331">
        <f>IF($K195=0,0,ROUND(J199/$K195,0))*'Poliof40 - LIVROB'!$F$556</f>
        <v>8.100000000000001</v>
      </c>
      <c r="J356" s="331">
        <f>IF($K195=0,0,ROUND(K199/$K195,0))*'Poliof40 - LIVROB'!$F$556</f>
        <v>43.2</v>
      </c>
      <c r="K356" s="331">
        <f>IF($K195=0,0,ROUND(L199/$K195,0))*'Poliof40 - LIVROB'!$F$556</f>
        <v>27</v>
      </c>
      <c r="L356" s="331">
        <f>IF($K195=0,0,ROUND(M199/$K195,0))*'Poliof40 - LIVROB'!$F$556</f>
        <v>18.900000000000002</v>
      </c>
      <c r="M356" s="331">
        <f>IF($K195=0,0,ROUND(N199/$K195,0))*'Poliof40 - LIVROB'!$F$556</f>
        <v>9.450000000000001</v>
      </c>
    </row>
    <row r="357" spans="1:13" ht="12.75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29.700000000000003</v>
      </c>
      <c r="D357" s="331">
        <f>IF($K202=0,0,ROUND(E206/$K202,0))*'Poliof40 - LIVROB'!$F$557</f>
        <v>29.700000000000003</v>
      </c>
      <c r="E357" s="331">
        <f>IF($K202=0,0,ROUND(F206/$K202,0))*'Poliof40 - LIVROB'!$F$557</f>
        <v>29.700000000000003</v>
      </c>
      <c r="F357" s="331">
        <f>IF($K202=0,0,ROUND(G206/$K202,0))*'Poliof40 - LIVROB'!$F$557</f>
        <v>29.700000000000003</v>
      </c>
      <c r="G357" s="331">
        <f>IF($K202=0,0,ROUND(H206/$K202,0))*'Poliof40 - LIVROB'!$F$557</f>
        <v>32.400000000000006</v>
      </c>
      <c r="H357" s="331">
        <f>IF($K202=0,0,ROUND(I206/$K202,0))*'Poliof40 - LIVROB'!$F$557</f>
        <v>54</v>
      </c>
      <c r="I357" s="331">
        <f>IF($K202=0,0,ROUND(J206/$K202,0))*'Poliof40 - LIVROB'!$F$557</f>
        <v>54</v>
      </c>
      <c r="J357" s="331">
        <f>IF($K202=0,0,ROUND(K206/$K202,0))*'Poliof40 - LIVROB'!$F$557</f>
        <v>54</v>
      </c>
      <c r="K357" s="331">
        <f>IF($K202=0,0,ROUND(L206/$K202,0))*'Poliof40 - LIVROB'!$F$557</f>
        <v>54</v>
      </c>
      <c r="L357" s="331">
        <f>IF($K202=0,0,ROUND(M206/$K202,0))*'Poliof40 - LIVROB'!$F$557</f>
        <v>54</v>
      </c>
      <c r="M357" s="331">
        <f>IF($K202=0,0,ROUND(N206/$K202,0))*'Poliof40 - LIVROB'!$F$557</f>
        <v>54</v>
      </c>
    </row>
    <row r="358" spans="1:13" ht="12.75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19.200000000000003</v>
      </c>
      <c r="D358" s="331">
        <f>IF($K209=0,0,ROUND(E213/$K209,0))*'Poliof40 - LIVROB'!$F$558</f>
        <v>28.8</v>
      </c>
      <c r="E358" s="331">
        <f>IF($K209=0,0,ROUND(F213/$K209,0))*'Poliof40 - LIVROB'!$F$558</f>
        <v>28.8</v>
      </c>
      <c r="F358" s="331">
        <f>IF($K209=0,0,ROUND(G213/$K209,0))*'Poliof40 - LIVROB'!$F$558</f>
        <v>38.400000000000006</v>
      </c>
      <c r="G358" s="331">
        <f>IF($K209=0,0,ROUND(H213/$K209,0))*'Poliof40 - LIVROB'!$F$558</f>
        <v>38.400000000000006</v>
      </c>
      <c r="H358" s="331">
        <f>IF($K209=0,0,ROUND(I213/$K209,0))*'Poliof40 - LIVROB'!$F$558</f>
        <v>38.400000000000006</v>
      </c>
      <c r="I358" s="331">
        <f>IF($K209=0,0,ROUND(J213/$K209,0))*'Poliof40 - LIVROB'!$F$558</f>
        <v>38.400000000000006</v>
      </c>
      <c r="J358" s="331">
        <f>IF($K209=0,0,ROUND(K213/$K209,0))*'Poliof40 - LIVROB'!$F$558</f>
        <v>38.400000000000006</v>
      </c>
      <c r="K358" s="331">
        <f>IF($K209=0,0,ROUND(L213/$K209,0))*'Poliof40 - LIVROB'!$F$558</f>
        <v>38.400000000000006</v>
      </c>
      <c r="L358" s="331">
        <f>IF($K209=0,0,ROUND(M213/$K209,0))*'Poliof40 - LIVROB'!$F$558</f>
        <v>38.400000000000006</v>
      </c>
      <c r="M358" s="331">
        <f>IF($K209=0,0,ROUND(N213/$K209,0))*'Poliof40 - LIVROB'!$F$558</f>
        <v>38.400000000000006</v>
      </c>
    </row>
    <row r="359" spans="1:13" ht="12.75" hidden="1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3" ht="12.75" hidden="1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ht="12.75">
      <c r="A361" s="330" t="s">
        <v>129</v>
      </c>
      <c r="B361" s="331">
        <f>SUM(B354:B358)</f>
        <v>0</v>
      </c>
      <c r="C361" s="331">
        <f aca="true" t="shared" si="81" ref="C361:M361">SUM(C354:C360)</f>
        <v>148.70999999999998</v>
      </c>
      <c r="D361" s="331">
        <f t="shared" si="81"/>
        <v>141.94000000000003</v>
      </c>
      <c r="E361" s="331">
        <f t="shared" si="81"/>
        <v>133.84</v>
      </c>
      <c r="F361" s="331">
        <f t="shared" si="81"/>
        <v>198.26000000000002</v>
      </c>
      <c r="G361" s="331">
        <f t="shared" si="81"/>
        <v>186.11</v>
      </c>
      <c r="H361" s="331">
        <f t="shared" si="81"/>
        <v>183.59</v>
      </c>
      <c r="I361" s="331">
        <f t="shared" si="81"/>
        <v>206.16</v>
      </c>
      <c r="J361" s="331">
        <f t="shared" si="81"/>
        <v>241.26000000000002</v>
      </c>
      <c r="K361" s="331">
        <f t="shared" si="81"/>
        <v>225.06</v>
      </c>
      <c r="L361" s="331">
        <f t="shared" si="81"/>
        <v>216.96</v>
      </c>
      <c r="M361" s="331">
        <f t="shared" si="81"/>
        <v>191.49</v>
      </c>
      <c r="N361" s="16" t="s">
        <v>0</v>
      </c>
    </row>
    <row r="362" ht="12.75"/>
    <row r="363" spans="1:13" ht="12.75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3" ht="12.75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4.62</v>
      </c>
      <c r="D364" s="331">
        <f>IF($K256=0,0,ROUND(E260/$K256,0))*'Poliof40 - LIVROB'!$F$560</f>
        <v>8.58</v>
      </c>
      <c r="E364" s="331">
        <f>IF($K256=0,0,ROUND(F260/$K256,0))*'Poliof40 - LIVROB'!$F$560</f>
        <v>11.22</v>
      </c>
      <c r="F364" s="331">
        <f>IF($K256=0,0,ROUND(G260/$K256,0))*'Poliof40 - LIVROB'!$F$560</f>
        <v>11.22</v>
      </c>
      <c r="G364" s="331">
        <f>IF($K256=0,0,ROUND(H260/$K256,0))*'Poliof40 - LIVROB'!$F$560</f>
        <v>9.24</v>
      </c>
      <c r="H364" s="331">
        <f>IF($K256=0,0,ROUND(I260/$K256,0))*'Poliof40 - LIVROB'!$F$560</f>
        <v>13.200000000000001</v>
      </c>
      <c r="I364" s="331">
        <f>IF($K256=0,0,ROUND(J260/$K256,0))*'Poliof40 - LIVROB'!$F$560</f>
        <v>13.200000000000001</v>
      </c>
      <c r="J364" s="331">
        <f>IF($K256=0,0,ROUND(K260/$K256,0))*'Poliof40 - LIVROB'!$F$560</f>
        <v>13.200000000000001</v>
      </c>
      <c r="K364" s="331">
        <f>IF($K256=0,0,ROUND(L260/$K256,0))*'Poliof40 - LIVROB'!$F$560</f>
        <v>13.200000000000001</v>
      </c>
      <c r="L364" s="331">
        <f>IF($K256=0,0,ROUND(M260/$K256,0))*'Poliof40 - LIVROB'!$F$560</f>
        <v>10.89</v>
      </c>
      <c r="M364" s="331">
        <f>IF($K256=0,0,ROUND(N260/$K256,0))*'Poliof40 - LIVROB'!$F$560</f>
        <v>0</v>
      </c>
    </row>
    <row r="365" spans="1:13" ht="12.75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3.06</v>
      </c>
      <c r="D365" s="331">
        <f>IF($K263=0,0,ROUND(E267/$K263,0))*'Poliof40 - LIVROB'!$F$561</f>
        <v>6.630000000000001</v>
      </c>
      <c r="E365" s="331">
        <f>IF($K263=0,0,ROUND(F267/$K263,0))*'Poliof40 - LIVROB'!$F$561</f>
        <v>12.41</v>
      </c>
      <c r="F365" s="331">
        <f>IF($K263=0,0,ROUND(G267/$K263,0))*'Poliof40 - LIVROB'!$F$561</f>
        <v>10.540000000000001</v>
      </c>
      <c r="G365" s="331">
        <f>IF($K263=0,0,ROUND(H267/$K263,0))*'Poliof40 - LIVROB'!$F$561</f>
        <v>11.05</v>
      </c>
      <c r="H365" s="331">
        <f>IF($K263=0,0,ROUND(I267/$K263,0))*'Poliof40 - LIVROB'!$F$561</f>
        <v>9.350000000000001</v>
      </c>
      <c r="I365" s="331">
        <f>IF($K263=0,0,ROUND(J267/$K263,0))*'Poliof40 - LIVROB'!$F$561</f>
        <v>14.620000000000001</v>
      </c>
      <c r="J365" s="331">
        <f>IF($K263=0,0,ROUND(K267/$K263,0))*'Poliof40 - LIVROB'!$F$561</f>
        <v>12.24</v>
      </c>
      <c r="K365" s="331">
        <f>IF($K263=0,0,ROUND(L267/$K263,0))*'Poliof40 - LIVROB'!$F$561</f>
        <v>11.22</v>
      </c>
      <c r="L365" s="331">
        <f>IF($K263=0,0,ROUND(M267/$K263,0))*'Poliof40 - LIVROB'!$F$561</f>
        <v>9.520000000000001</v>
      </c>
      <c r="M365" s="331">
        <f>IF($K263=0,0,ROUND(N267/$K263,0))*'Poliof40 - LIVROB'!$F$561</f>
        <v>0</v>
      </c>
    </row>
    <row r="366" spans="1:13" ht="12.75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4.95</v>
      </c>
      <c r="D366" s="331">
        <f>IF($K270=0,0,ROUND(E274/$K270,0))*'Poliof40 - LIVROB'!$F$562</f>
        <v>8.91</v>
      </c>
      <c r="E366" s="331">
        <f>IF($K270=0,0,ROUND(F274/$K270,0))*'Poliof40 - LIVROB'!$F$562</f>
        <v>11.88</v>
      </c>
      <c r="F366" s="331">
        <f>IF($K270=0,0,ROUND(G274/$K270,0))*'Poliof40 - LIVROB'!$F$562</f>
        <v>11.88</v>
      </c>
      <c r="G366" s="331">
        <f>IF($K270=0,0,ROUND(H274/$K270,0))*'Poliof40 - LIVROB'!$F$562</f>
        <v>9.57</v>
      </c>
      <c r="H366" s="331">
        <f>IF($K270=0,0,ROUND(I274/$K270,0))*'Poliof40 - LIVROB'!$F$562</f>
        <v>13.860000000000001</v>
      </c>
      <c r="I366" s="331">
        <f>IF($K270=0,0,ROUND(J274/$K270,0))*'Poliof40 - LIVROB'!$F$562</f>
        <v>13.860000000000001</v>
      </c>
      <c r="J366" s="331">
        <f>IF($K270=0,0,ROUND(K274/$K270,0))*'Poliof40 - LIVROB'!$F$562</f>
        <v>13.860000000000001</v>
      </c>
      <c r="K366" s="331">
        <f>IF($K270=0,0,ROUND(L274/$K270,0))*'Poliof40 - LIVROB'!$F$562</f>
        <v>13.860000000000001</v>
      </c>
      <c r="L366" s="331">
        <f>IF($K270=0,0,ROUND(M274/$K270,0))*'Poliof40 - LIVROB'!$F$562</f>
        <v>11.55</v>
      </c>
      <c r="M366" s="331">
        <f>IF($K270=0,0,ROUND(N274/$K270,0))*'Poliof40 - LIVROB'!$F$562</f>
        <v>0</v>
      </c>
    </row>
    <row r="367" spans="1:13" ht="12.75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10.5</v>
      </c>
      <c r="D367" s="331">
        <f>IF($K277=0,0,ROUND(E281/$K277,0))*'Poliof40 - LIVROB'!$F$563</f>
        <v>13.5</v>
      </c>
      <c r="E367" s="331">
        <f>IF($K277=0,0,ROUND(F281/$K277,0))*'Poliof40 - LIVROB'!$F$563</f>
        <v>22.25</v>
      </c>
      <c r="F367" s="331">
        <f>IF($K277=0,0,ROUND(G281/$K277,0))*'Poliof40 - LIVROB'!$F$563</f>
        <v>19.75</v>
      </c>
      <c r="G367" s="331">
        <f>IF($K277=0,0,ROUND(H281/$K277,0))*'Poliof40 - LIVROB'!$F$563</f>
        <v>22.75</v>
      </c>
      <c r="H367" s="331">
        <f>IF($K277=0,0,ROUND(I281/$K277,0))*'Poliof40 - LIVROB'!$F$563</f>
        <v>20.5</v>
      </c>
      <c r="I367" s="331">
        <f>IF($K277=0,0,ROUND(J281/$K277,0))*'Poliof40 - LIVROB'!$F$563</f>
        <v>28.25</v>
      </c>
      <c r="J367" s="331">
        <f>IF($K277=0,0,ROUND(K281/$K277,0))*'Poliof40 - LIVROB'!$F$563</f>
        <v>24.75</v>
      </c>
      <c r="K367" s="331">
        <f>IF($K277=0,0,ROUND(L281/$K277,0))*'Poliof40 - LIVROB'!$F$563</f>
        <v>23</v>
      </c>
      <c r="L367" s="331">
        <f>IF($K277=0,0,ROUND(M281/$K277,0))*'Poliof40 - LIVROB'!$F$563</f>
        <v>21</v>
      </c>
      <c r="M367" s="331">
        <f>IF($K277=0,0,ROUND(N281/$K277,0))*'Poliof40 - LIVROB'!$F$563</f>
        <v>0</v>
      </c>
    </row>
    <row r="368" spans="1:13" ht="12.75">
      <c r="A368" s="330" t="s">
        <v>129</v>
      </c>
      <c r="B368" s="331">
        <f aca="true" t="shared" si="82" ref="B368:M368">SUM(B364:B367)</f>
        <v>0</v>
      </c>
      <c r="C368" s="331">
        <f t="shared" si="82"/>
        <v>23.13</v>
      </c>
      <c r="D368" s="331">
        <f t="shared" si="82"/>
        <v>37.620000000000005</v>
      </c>
      <c r="E368" s="331">
        <f t="shared" si="82"/>
        <v>57.760000000000005</v>
      </c>
      <c r="F368" s="331">
        <f t="shared" si="82"/>
        <v>53.39</v>
      </c>
      <c r="G368" s="331">
        <f t="shared" si="82"/>
        <v>52.61</v>
      </c>
      <c r="H368" s="331">
        <f t="shared" si="82"/>
        <v>56.910000000000004</v>
      </c>
      <c r="I368" s="331">
        <f t="shared" si="82"/>
        <v>69.93</v>
      </c>
      <c r="J368" s="331">
        <f t="shared" si="82"/>
        <v>64.05000000000001</v>
      </c>
      <c r="K368" s="331">
        <f t="shared" si="82"/>
        <v>61.28</v>
      </c>
      <c r="L368" s="331">
        <f t="shared" si="82"/>
        <v>52.96000000000001</v>
      </c>
      <c r="M368" s="331">
        <f t="shared" si="82"/>
        <v>0</v>
      </c>
    </row>
    <row r="369" ht="12.75"/>
    <row r="370" spans="1:15" s="121" customFormat="1" ht="13.5" thickBo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ht="12.75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ht="12.75">
      <c r="A374" s="440"/>
      <c r="B374" s="438">
        <f aca="true" t="shared" si="83" ref="B374:M374">IF(B306&lt;=$F$304,B306,$F$304)</f>
        <v>0</v>
      </c>
      <c r="C374" s="438">
        <f t="shared" si="83"/>
        <v>38.95</v>
      </c>
      <c r="D374" s="438">
        <f t="shared" si="83"/>
        <v>38.95</v>
      </c>
      <c r="E374" s="438">
        <f t="shared" si="83"/>
        <v>30.950000000000003</v>
      </c>
      <c r="F374" s="438">
        <f t="shared" si="83"/>
        <v>30.950000000000003</v>
      </c>
      <c r="G374" s="438">
        <f t="shared" si="83"/>
        <v>40</v>
      </c>
      <c r="H374" s="438">
        <f t="shared" si="83"/>
        <v>40</v>
      </c>
      <c r="I374" s="438">
        <f t="shared" si="83"/>
        <v>33.620000000000005</v>
      </c>
      <c r="J374" s="438">
        <f t="shared" si="83"/>
        <v>40</v>
      </c>
      <c r="K374" s="438">
        <f t="shared" si="83"/>
        <v>40</v>
      </c>
      <c r="L374" s="438">
        <f t="shared" si="83"/>
        <v>40</v>
      </c>
      <c r="M374" s="438">
        <f t="shared" si="83"/>
        <v>40</v>
      </c>
      <c r="N374" s="438"/>
      <c r="O374" s="439"/>
    </row>
    <row r="375" spans="1:15" s="104" customFormat="1" ht="12.75">
      <c r="A375" s="440"/>
      <c r="B375" s="438">
        <f aca="true" t="shared" si="84" ref="B375:M375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1.6200000000000045</v>
      </c>
      <c r="H375" s="438">
        <f t="shared" si="84"/>
        <v>1.6200000000000045</v>
      </c>
      <c r="I375" s="438">
        <f t="shared" si="84"/>
        <v>0</v>
      </c>
      <c r="J375" s="438">
        <f t="shared" si="84"/>
        <v>6.960000000000001</v>
      </c>
      <c r="K375" s="438">
        <f t="shared" si="84"/>
        <v>6.960000000000001</v>
      </c>
      <c r="L375" s="438">
        <f t="shared" si="84"/>
        <v>6.960000000000001</v>
      </c>
      <c r="M375" s="438">
        <f t="shared" si="84"/>
        <v>6.960000000000001</v>
      </c>
      <c r="N375" s="438"/>
      <c r="O375" s="439"/>
    </row>
    <row r="376" spans="1:15" s="104" customFormat="1" ht="12.75">
      <c r="A376" s="440"/>
      <c r="B376" s="438">
        <f>IF(B312&lt;=$F$310,B312,$F$310)</f>
        <v>0</v>
      </c>
      <c r="C376" s="438">
        <f aca="true" t="shared" si="85" ref="C376:M376">IF(C312&lt;=$F$310,C312,$F$310)</f>
        <v>68.48</v>
      </c>
      <c r="D376" s="438">
        <f t="shared" si="85"/>
        <v>65.80000000000001</v>
      </c>
      <c r="E376" s="438">
        <f t="shared" si="85"/>
        <v>53.74</v>
      </c>
      <c r="F376" s="438">
        <f t="shared" si="85"/>
        <v>45.7</v>
      </c>
      <c r="G376" s="438">
        <f t="shared" si="85"/>
        <v>80</v>
      </c>
      <c r="H376" s="438">
        <f t="shared" si="85"/>
        <v>72.72</v>
      </c>
      <c r="I376" s="438">
        <f t="shared" si="85"/>
        <v>75.4</v>
      </c>
      <c r="J376" s="438">
        <f t="shared" si="85"/>
        <v>66.02000000000001</v>
      </c>
      <c r="K376" s="438">
        <f t="shared" si="85"/>
        <v>80</v>
      </c>
      <c r="L376" s="438">
        <f t="shared" si="85"/>
        <v>80</v>
      </c>
      <c r="M376" s="438">
        <f t="shared" si="85"/>
        <v>76.74000000000001</v>
      </c>
      <c r="N376" s="438"/>
      <c r="O376" s="439"/>
    </row>
    <row r="377" spans="1:15" s="104" customFormat="1" ht="12.75">
      <c r="A377" s="440"/>
      <c r="B377" s="438">
        <f>IF(B312&gt;$F$310,B312-$F$310,0)</f>
        <v>0</v>
      </c>
      <c r="C377" s="438">
        <f aca="true" t="shared" si="86" ref="C377:M377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4.780000000000001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18.180000000000007</v>
      </c>
      <c r="L377" s="438">
        <f t="shared" si="86"/>
        <v>3.4399999999999977</v>
      </c>
      <c r="M377" s="438">
        <f t="shared" si="86"/>
        <v>0</v>
      </c>
      <c r="N377" s="438"/>
      <c r="O377" s="439"/>
    </row>
    <row r="378" spans="1:15" s="104" customFormat="1" ht="12.75">
      <c r="A378" s="440"/>
      <c r="B378" s="438">
        <f>IF(B322&lt;=$F$318,B322,$F$318)</f>
        <v>0</v>
      </c>
      <c r="C378" s="438">
        <f aca="true" t="shared" si="87" ref="C378:M378">IF(C322&lt;=$F$318,C322,$F$318)</f>
        <v>91.22</v>
      </c>
      <c r="D378" s="438">
        <f t="shared" si="87"/>
        <v>95.87</v>
      </c>
      <c r="E378" s="438">
        <f t="shared" si="87"/>
        <v>87.89</v>
      </c>
      <c r="F378" s="438">
        <f t="shared" si="87"/>
        <v>140.46</v>
      </c>
      <c r="G378" s="438">
        <f t="shared" si="87"/>
        <v>128.49</v>
      </c>
      <c r="H378" s="438">
        <f t="shared" si="87"/>
        <v>121.15</v>
      </c>
      <c r="I378" s="438">
        <f t="shared" si="87"/>
        <v>130.51</v>
      </c>
      <c r="J378" s="438">
        <f t="shared" si="87"/>
        <v>160</v>
      </c>
      <c r="K378" s="438">
        <f t="shared" si="87"/>
        <v>149.13</v>
      </c>
      <c r="L378" s="438">
        <f t="shared" si="87"/>
        <v>142.48000000000002</v>
      </c>
      <c r="M378" s="438">
        <f t="shared" si="87"/>
        <v>119.84</v>
      </c>
      <c r="N378" s="438"/>
      <c r="O378" s="439"/>
    </row>
    <row r="379" spans="1:15" s="104" customFormat="1" ht="12.75">
      <c r="A379" s="440"/>
      <c r="B379" s="438">
        <f>IF(B322&gt;$F$318,B322-$F$318,0)</f>
        <v>0</v>
      </c>
      <c r="C379" s="438">
        <f aca="true" t="shared" si="88" ref="C379:M379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5.090000000000003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ht="12.75">
      <c r="A380" s="440"/>
      <c r="B380" s="438">
        <f>IF(B328&lt;=$F$324,B328,$F$324)</f>
        <v>0</v>
      </c>
      <c r="C380" s="438">
        <f aca="true" t="shared" si="89" ref="C380:M380">IF(C328&lt;=$F$324,C328,$F$324)</f>
        <v>148.70999999999998</v>
      </c>
      <c r="D380" s="438">
        <f t="shared" si="89"/>
        <v>141.94000000000003</v>
      </c>
      <c r="E380" s="438">
        <f t="shared" si="89"/>
        <v>133.84</v>
      </c>
      <c r="F380" s="438">
        <f t="shared" si="89"/>
        <v>160</v>
      </c>
      <c r="G380" s="438">
        <f t="shared" si="89"/>
        <v>160</v>
      </c>
      <c r="H380" s="438">
        <f t="shared" si="89"/>
        <v>160</v>
      </c>
      <c r="I380" s="438">
        <f t="shared" si="89"/>
        <v>160</v>
      </c>
      <c r="J380" s="438">
        <f t="shared" si="89"/>
        <v>160</v>
      </c>
      <c r="K380" s="438">
        <f t="shared" si="89"/>
        <v>160</v>
      </c>
      <c r="L380" s="438">
        <f t="shared" si="89"/>
        <v>160</v>
      </c>
      <c r="M380" s="438">
        <f t="shared" si="89"/>
        <v>160</v>
      </c>
      <c r="N380" s="438"/>
      <c r="O380" s="439"/>
    </row>
    <row r="381" spans="1:15" s="104" customFormat="1" ht="12.75">
      <c r="A381" s="440"/>
      <c r="B381" s="438">
        <f>IF(B328&gt;$F$324,B328-$F$324,0)</f>
        <v>0</v>
      </c>
      <c r="C381" s="438">
        <f aca="true" t="shared" si="90" ref="C381:M381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38.26000000000002</v>
      </c>
      <c r="G381" s="438">
        <f t="shared" si="90"/>
        <v>26.110000000000014</v>
      </c>
      <c r="H381" s="438">
        <f t="shared" si="90"/>
        <v>23.590000000000003</v>
      </c>
      <c r="I381" s="438">
        <f t="shared" si="90"/>
        <v>46.16</v>
      </c>
      <c r="J381" s="438">
        <f t="shared" si="90"/>
        <v>81.26000000000002</v>
      </c>
      <c r="K381" s="438">
        <f t="shared" si="90"/>
        <v>65.06</v>
      </c>
      <c r="L381" s="438">
        <f t="shared" si="90"/>
        <v>56.96000000000001</v>
      </c>
      <c r="M381" s="438">
        <f t="shared" si="90"/>
        <v>31.49000000000001</v>
      </c>
      <c r="N381" s="438"/>
      <c r="O381" s="439"/>
    </row>
    <row r="382" spans="1:15" s="104" customFormat="1" ht="12.75">
      <c r="A382" s="440"/>
      <c r="B382" s="438">
        <f>IF(B336&lt;=$F$332,B336,$F$332)</f>
        <v>0</v>
      </c>
      <c r="C382" s="438">
        <f aca="true" t="shared" si="91" ref="C382:M382">IF(C336&lt;=$F$332,C336,$F$332)</f>
        <v>23.13</v>
      </c>
      <c r="D382" s="438">
        <f t="shared" si="91"/>
        <v>37.620000000000005</v>
      </c>
      <c r="E382" s="438">
        <f t="shared" si="91"/>
        <v>40</v>
      </c>
      <c r="F382" s="438">
        <f t="shared" si="91"/>
        <v>40</v>
      </c>
      <c r="G382" s="438">
        <f t="shared" si="91"/>
        <v>40</v>
      </c>
      <c r="H382" s="438">
        <f t="shared" si="91"/>
        <v>40</v>
      </c>
      <c r="I382" s="438">
        <f t="shared" si="91"/>
        <v>40</v>
      </c>
      <c r="J382" s="438">
        <f t="shared" si="91"/>
        <v>40</v>
      </c>
      <c r="K382" s="438">
        <f t="shared" si="91"/>
        <v>40</v>
      </c>
      <c r="L382" s="438">
        <f t="shared" si="91"/>
        <v>40</v>
      </c>
      <c r="M382" s="438">
        <f t="shared" si="91"/>
        <v>0</v>
      </c>
      <c r="N382" s="438"/>
      <c r="O382" s="439"/>
    </row>
    <row r="383" spans="1:15" s="104" customFormat="1" ht="12.75">
      <c r="A383" s="437"/>
      <c r="B383" s="438">
        <f>IF(B336&gt;$F$332,B336-$F$332,0)</f>
        <v>0</v>
      </c>
      <c r="C383" s="438">
        <f aca="true" t="shared" si="92" ref="C383:M383">IF(C336&gt;$F$332,C336-$F$332,0)</f>
        <v>0</v>
      </c>
      <c r="D383" s="438">
        <f t="shared" si="92"/>
        <v>0</v>
      </c>
      <c r="E383" s="438">
        <f t="shared" si="92"/>
        <v>17.760000000000005</v>
      </c>
      <c r="F383" s="438">
        <f t="shared" si="92"/>
        <v>13.39</v>
      </c>
      <c r="G383" s="438">
        <f t="shared" si="92"/>
        <v>12.61</v>
      </c>
      <c r="H383" s="438">
        <f t="shared" si="92"/>
        <v>16.910000000000004</v>
      </c>
      <c r="I383" s="438">
        <f t="shared" si="92"/>
        <v>29.930000000000007</v>
      </c>
      <c r="J383" s="438">
        <f t="shared" si="92"/>
        <v>24.05000000000001</v>
      </c>
      <c r="K383" s="438">
        <f t="shared" si="92"/>
        <v>21.28</v>
      </c>
      <c r="L383" s="438">
        <f t="shared" si="92"/>
        <v>12.960000000000008</v>
      </c>
      <c r="M383" s="438">
        <f t="shared" si="92"/>
        <v>0</v>
      </c>
      <c r="N383" s="438"/>
      <c r="O383" s="439"/>
    </row>
    <row r="384" spans="1:15" s="104" customFormat="1" ht="12.75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ht="12.75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ht="12.75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ht="12.75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ht="12.75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ht="12.75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ht="12.75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ht="12.75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ht="12.75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ht="12.75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ht="12.75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ht="12.75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ht="12.75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ht="12.75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ht="12.75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ht="12.75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ht="12.75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ht="12.75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ht="12.75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ht="12.75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ht="12.75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ht="12.75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ht="12.75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ht="12.75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ht="12.75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ht="12.75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ht="12.75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ht="12.75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ht="12.75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ht="12.75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ht="12.75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ht="12.75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ht="12.75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ht="12.75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ht="12.75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ht="12.75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ht="12.75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ht="12.75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ht="12.75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ht="12.75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ht="12.75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ht="12.75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ht="12.75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ht="12.75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ht="12.75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ht="12.75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ht="12.75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ht="12.75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ht="12.75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ht="12.75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ht="12.75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ht="12.75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ht="12.75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ht="12.75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ht="12.75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ht="12.75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ht="12.75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ht="12.75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ht="12.75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ht="12.75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ht="12.75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ht="12.75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ht="12.75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ht="12.75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ht="12.75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ht="12.75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ht="12.75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ht="12.75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ht="12.75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ht="12.75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ht="12.75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ht="12.75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ht="12.75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ht="12.75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ht="12.75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ht="12.75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ht="12.75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ht="12.75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ht="12.75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ht="12.75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ht="12.75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ht="12.75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ht="12.75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ht="12.75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ht="12.75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ht="12.75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ht="12.75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ht="12.75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ht="12.75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ht="12.75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ht="12.75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ht="12.75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ht="12.75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ht="12.75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ht="12.75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ht="12.75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ht="12.75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ht="12.75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ht="12.75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ht="12.75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ht="12.75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ht="12.75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ht="12.75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ht="12.75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ht="12.75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ht="12.75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ht="12.75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ht="12.75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ht="12.75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ht="12.75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ht="12.75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ht="12.75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ht="12.75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15" s="104" customFormat="1" ht="12.75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15" s="104" customFormat="1" ht="12.75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15" s="104" customFormat="1" ht="12.75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15" s="104" customFormat="1" ht="12.75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15" s="104" customFormat="1" ht="12.75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15" s="104" customFormat="1" ht="12.75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15" s="104" customFormat="1" ht="13.5" thickBot="1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t="12.75" hidden="1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t="12.75" hidden="1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2.75" hidden="1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2.75" hidden="1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2.75" hidden="1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t="12.75" hidden="1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t="12.75" hidden="1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t="12.75" hidden="1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t="12.75" hidden="1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t="12.75" hidden="1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t="12.75" hidden="1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t="12.75" hidden="1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t="12.75" hidden="1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t="12.75" hidden="1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t="12.75" hidden="1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t="12.75" hidden="1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t="12.75" hidden="1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t="12.75" hidden="1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t="12.75" hidden="1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2.75" hidden="1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2.75" hidden="1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2.75" hidden="1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t="12.75" hidden="1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2.75" hidden="1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t="12.75" hidden="1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2.75" hidden="1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2.75" hidden="1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2.75" hidden="1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2.75" hidden="1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2.75" hidden="1">
      <c r="A537" s="15"/>
      <c r="B537" s="275"/>
      <c r="C537" s="288" t="s">
        <v>114</v>
      </c>
      <c r="D537" s="246">
        <f>IF($G510=1,0.1,IF($G510=2,0.07,0))</f>
        <v>0.07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2.75" hidden="1">
      <c r="A538" s="15"/>
      <c r="B538" s="275"/>
      <c r="C538" s="288" t="s">
        <v>115</v>
      </c>
      <c r="D538" s="246">
        <f>IF($G$510=1,0.1,IF($G$510=2,0.07,0))</f>
        <v>0.07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2.75" hidden="1">
      <c r="A539" s="15"/>
      <c r="B539" s="275"/>
      <c r="C539" s="288" t="s">
        <v>116</v>
      </c>
      <c r="D539" s="246">
        <f>IF($G$510=1,0.1,IF($G$510=2,0.07,0))</f>
        <v>0.07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2.75" hidden="1">
      <c r="A540" s="15"/>
      <c r="B540" s="275"/>
      <c r="C540" s="288" t="s">
        <v>117</v>
      </c>
      <c r="D540" s="246">
        <f>IF($G$510=1,0.1,IF($G$510=2,0.07,0))</f>
        <v>0.07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2.75" hidden="1">
      <c r="A541" s="15"/>
      <c r="B541" s="275"/>
      <c r="C541" s="288" t="s">
        <v>118</v>
      </c>
      <c r="D541" s="246">
        <f>IF($G$510=1,0.1,IF($G$510=2,0.07,0))</f>
        <v>0.07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2.75" hidden="1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2.75" hidden="1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2.75" hidden="1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2.75" hidden="1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2.75" hidden="1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2.75" hidden="1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2.75" hidden="1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2.75" hidden="1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2.75" hidden="1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2.75" hidden="1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2.75" hidden="1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2.75" hidden="1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2.75" hidden="1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2.75" hidden="1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2.75" hidden="1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2.75" hidden="1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2.75" hidden="1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2.75" hidden="1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2.75" hidden="1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2.75" hidden="1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2.75" hidden="1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2.75" hidden="1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2.75" hidden="1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2.75" hidden="1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2.75" hidden="1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2.75" hidden="1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2.75" hidden="1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2.75" hidden="1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2.75" hidden="1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2.75" hidden="1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2.75" hidden="1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2.75" hidden="1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2.75" hidden="1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2.75" hidden="1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2.75" hidden="1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2.75" hidden="1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2.75" hidden="1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2.75" hidden="1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2.75" hidden="1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2.75" hidden="1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2.75" hidden="1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t="12.75" hidden="1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t="12.75" hidden="1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t="12.75" hidden="1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t="12.75" hidden="1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t="12.75" hidden="1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t="12.75" hidden="1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t="12.75" hidden="1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t="12.75" hidden="1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t="12.75" hidden="1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t="12.75" hidden="1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t="12.75" hidden="1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t="12.75" hidden="1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t="12.75" hidden="1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t="12.75" hidden="1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t="12.75" hidden="1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t="12.75" hidden="1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t="12.75" hidden="1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t="12.75" hidden="1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t="12.75" hidden="1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t="12.75" hidden="1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t="12.75" hidden="1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t="12.75" hidden="1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3" s="6" customFormat="1" ht="12.75" hidden="1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3" s="6" customFormat="1" ht="20.25" hidden="1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3" s="6" customFormat="1" ht="18" hidden="1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s="6" customFormat="1" ht="18" hidden="1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s="6" customFormat="1" ht="12.75" hidden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s="6" customFormat="1" ht="15" hidden="1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s="6" customFormat="1" ht="15" hidden="1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s="6" customFormat="1" ht="15" hidden="1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s="6" customFormat="1" ht="15" hidden="1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s="6" customFormat="1" ht="15" hidden="1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s="6" customFormat="1" ht="15" hidden="1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s="6" customFormat="1" ht="15" hidden="1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s="6" customFormat="1" ht="12.75" hidden="1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3" s="8" customFormat="1" ht="19.5" hidden="1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3" s="6" customFormat="1" ht="15" hidden="1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3" s="6" customFormat="1" ht="13.5" hidden="1" thickBo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t="12.75" hidden="1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404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Bot="1" thickTop="1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t="12.75" hidden="1">
      <c r="A628" s="15"/>
      <c r="B628" s="32" t="s">
        <v>233</v>
      </c>
      <c r="C628" s="215">
        <f>'Poliof40 - LIVROB'!$I$149</f>
        <v>1</v>
      </c>
      <c r="D628" s="202">
        <f>'Poliof40 - LIVROB'!$B$155+'Poliof40 - LIVROB'!$C$155</f>
        <v>28</v>
      </c>
      <c r="E628" s="202">
        <f>'Poliof40 - LIVROB'!$D$155</f>
        <v>21</v>
      </c>
      <c r="F628" s="202">
        <f>'Poliof40 - LIVROB'!$E$155</f>
        <v>21</v>
      </c>
      <c r="G628" s="202">
        <f>'Poliof40 - LIVROB'!$F$155</f>
        <v>28</v>
      </c>
      <c r="H628" s="202">
        <f>'Poliof40 - LIVROB'!$G$155</f>
        <v>28</v>
      </c>
      <c r="I628" s="202">
        <f>'Poliof40 - LIVROB'!$H$155</f>
        <v>23</v>
      </c>
      <c r="J628" s="202">
        <f>'Poliof40 - LIVROB'!$I$155</f>
        <v>32</v>
      </c>
      <c r="K628" s="202">
        <f>'Poliof40 - LIVROB'!$J$155</f>
        <v>32</v>
      </c>
      <c r="L628" s="202">
        <f>'Poliof40 - LIVROB'!$K$155</f>
        <v>32</v>
      </c>
      <c r="M628" s="202">
        <f>'Poliof40 - LIVROB'!$L$155</f>
        <v>32</v>
      </c>
      <c r="N628" s="202">
        <f>'Poliof40 - LIVROB'!$M$155</f>
        <v>27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t="12.75" hidden="1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t="12.75" hidden="1">
      <c r="A630" s="15"/>
      <c r="B630" s="32" t="s">
        <v>234</v>
      </c>
      <c r="C630" s="215">
        <f>'Poliof40 - LIVROB'!$I$157</f>
        <v>1</v>
      </c>
      <c r="D630" s="202">
        <f>'Poliof40 - LIVROB'!$B$163+'Poliof40 - LIVROB'!$C$163</f>
        <v>38</v>
      </c>
      <c r="E630" s="202">
        <f>'Poliof40 - LIVROB'!$D$163</f>
        <v>37</v>
      </c>
      <c r="F630" s="202">
        <f>'Poliof40 - LIVROB'!$E$163</f>
        <v>31</v>
      </c>
      <c r="G630" s="202">
        <f>'Poliof40 - LIVROB'!$F$163</f>
        <v>60</v>
      </c>
      <c r="H630" s="202">
        <f>'Poliof40 - LIVROB'!$G$163</f>
        <v>51</v>
      </c>
      <c r="I630" s="202">
        <f>'Poliof40 - LIVROB'!$H$163</f>
        <v>53</v>
      </c>
      <c r="J630" s="202">
        <f>'Poliof40 - LIVROB'!$I$163</f>
        <v>45</v>
      </c>
      <c r="K630" s="202">
        <f>'Poliof40 - LIVROB'!$J$163</f>
        <v>70</v>
      </c>
      <c r="L630" s="202">
        <f>'Poliof40 - LIVROB'!$K$163</f>
        <v>59</v>
      </c>
      <c r="M630" s="202">
        <f>'Poliof40 - LIVROB'!$L$163</f>
        <v>54</v>
      </c>
      <c r="N630" s="202">
        <f>'Poliof40 - LIVROB'!$M$163</f>
        <v>46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Bot="1" thickTop="1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t="12.75" hidden="1">
      <c r="A634" s="15"/>
      <c r="B634" s="167" t="s">
        <v>236</v>
      </c>
      <c r="C634" s="215">
        <f>'Poliof40 - LIVROB'!$I$141</f>
        <v>36</v>
      </c>
      <c r="D634" s="202">
        <f>'Poliof40 - LIVROB'!$B$147+'Poliof40 - LIVROB'!$C$147</f>
        <v>0</v>
      </c>
      <c r="E634" s="202">
        <f>'Poliof40 - LIVROB'!$D$147</f>
        <v>38</v>
      </c>
      <c r="F634" s="202">
        <f>'Poliof40 - LIVROB'!$E$147</f>
        <v>38</v>
      </c>
      <c r="G634" s="202">
        <f>'Poliof40 - LIVROB'!$F$147</f>
        <v>0</v>
      </c>
      <c r="H634" s="202">
        <f>'Poliof40 - LIVROB'!$G$147</f>
        <v>38</v>
      </c>
      <c r="I634" s="202">
        <f>'Poliof40 - LIVROB'!$H$147</f>
        <v>0</v>
      </c>
      <c r="J634" s="202">
        <f>'Poliof40 - LIVROB'!$I$147</f>
        <v>38</v>
      </c>
      <c r="K634" s="202">
        <f>'Poliof40 - LIVROB'!$J$147</f>
        <v>38</v>
      </c>
      <c r="L634" s="202">
        <f>'Poliof40 - LIVROB'!$K$147</f>
        <v>0</v>
      </c>
      <c r="M634" s="202">
        <f>'Poliof40 - LIVROB'!$L$147</f>
        <v>38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Bot="1" thickTop="1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t="12.75" hidden="1">
      <c r="A638" s="15"/>
      <c r="B638" s="167" t="s">
        <v>238</v>
      </c>
      <c r="C638" s="215">
        <f>'Poliof40 - LIVROB'!$I$216</f>
        <v>1</v>
      </c>
      <c r="D638" s="202">
        <f>'Poliof40 - LIVROB'!$B$222+'Poliof40 - LIVROB'!$C$222</f>
        <v>20</v>
      </c>
      <c r="E638" s="202">
        <f>'Poliof40 - LIVROB'!$D$222</f>
        <v>22</v>
      </c>
      <c r="F638" s="202">
        <f>'Poliof40 - LIVROB'!$E$222</f>
        <v>29</v>
      </c>
      <c r="G638" s="202">
        <f>'Poliof40 - LIVROB'!$F$222</f>
        <v>29</v>
      </c>
      <c r="H638" s="202">
        <f>'Poliof40 - LIVROB'!$G$222</f>
        <v>24</v>
      </c>
      <c r="I638" s="202">
        <f>'Poliof40 - LIVROB'!$H$222</f>
        <v>34</v>
      </c>
      <c r="J638" s="202">
        <f>'Poliof40 - LIVROB'!$I$222</f>
        <v>34</v>
      </c>
      <c r="K638" s="202">
        <f>'Poliof40 - LIVROB'!$J$222</f>
        <v>34</v>
      </c>
      <c r="L638" s="202">
        <f>'Poliof40 - LIVROB'!$K$222</f>
        <v>34</v>
      </c>
      <c r="M638" s="202">
        <f>'Poliof40 - LIVROB'!$L$222</f>
        <v>28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t="12.75" hidden="1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t="12.75" hidden="1">
      <c r="A640" s="15"/>
      <c r="B640" s="167" t="s">
        <v>239</v>
      </c>
      <c r="C640" s="215">
        <f>'Poliof40 - LIVROB'!$I$224</f>
        <v>1</v>
      </c>
      <c r="D640" s="202">
        <f>'Poliof40 - LIVROB'!$B$230+'Poliof40 - LIVROB'!$C$230</f>
        <v>22</v>
      </c>
      <c r="E640" s="202">
        <f>'Poliof40 - LIVROB'!$D$230</f>
        <v>33</v>
      </c>
      <c r="F640" s="202">
        <f>'Poliof40 - LIVROB'!$E$230</f>
        <v>63</v>
      </c>
      <c r="G640" s="202">
        <f>'Poliof40 - LIVROB'!$F$230</f>
        <v>54</v>
      </c>
      <c r="H640" s="202">
        <f>'Poliof40 - LIVROB'!$G$230</f>
        <v>56</v>
      </c>
      <c r="I640" s="202">
        <f>'Poliof40 - LIVROB'!$H$230</f>
        <v>47</v>
      </c>
      <c r="J640" s="202">
        <f>'Poliof40 - LIVROB'!$I$230</f>
        <v>74</v>
      </c>
      <c r="K640" s="202">
        <f>'Poliof40 - LIVROB'!$J$230</f>
        <v>62</v>
      </c>
      <c r="L640" s="202">
        <f>'Poliof40 - LIVROB'!$K$230</f>
        <v>57</v>
      </c>
      <c r="M640" s="202">
        <f>'Poliof40 - LIVROB'!$L$230</f>
        <v>48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t="12.75" hidden="1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t="12.75" hidden="1">
      <c r="A642" s="15"/>
      <c r="B642" s="167" t="s">
        <v>240</v>
      </c>
      <c r="C642" s="215">
        <f>'Poliof40 - LIVROB'!$I$232</f>
        <v>1</v>
      </c>
      <c r="D642" s="202">
        <f>'Poliof40 - LIVROB'!$B$238+'Poliof40 - LIVROB'!$C$238</f>
        <v>23</v>
      </c>
      <c r="E642" s="202">
        <f>'Poliof40 - LIVROB'!$D$238</f>
        <v>23</v>
      </c>
      <c r="F642" s="202">
        <f>'Poliof40 - LIVROB'!$E$238</f>
        <v>31</v>
      </c>
      <c r="G642" s="202">
        <f>'Poliof40 - LIVROB'!$F$238</f>
        <v>31</v>
      </c>
      <c r="H642" s="202">
        <f>'Poliof40 - LIVROB'!$G$238</f>
        <v>25</v>
      </c>
      <c r="I642" s="202">
        <f>'Poliof40 - LIVROB'!$H$238</f>
        <v>36</v>
      </c>
      <c r="J642" s="202">
        <f>'Poliof40 - LIVROB'!$I$238</f>
        <v>36</v>
      </c>
      <c r="K642" s="202">
        <f>'Poliof40 - LIVROB'!$J$238</f>
        <v>36</v>
      </c>
      <c r="L642" s="202">
        <f>'Poliof40 - LIVROB'!$K$238</f>
        <v>36</v>
      </c>
      <c r="M642" s="202">
        <f>'Poliof40 - LIVROB'!$L$238</f>
        <v>30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t="12.75" hidden="1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t="12.75" hidden="1">
      <c r="A644" s="15"/>
      <c r="B644" s="167" t="s">
        <v>241</v>
      </c>
      <c r="C644" s="215">
        <f>'Poliof40 - LIVROB'!$I$240</f>
        <v>1</v>
      </c>
      <c r="D644" s="202">
        <f>'Poliof40 - LIVROB'!$B$246+'Poliof40 - LIVROB'!$C$246</f>
        <v>37</v>
      </c>
      <c r="E644" s="202">
        <f>'Poliof40 - LIVROB'!$D$246</f>
        <v>46</v>
      </c>
      <c r="F644" s="202">
        <f>'Poliof40 - LIVROB'!$E$246</f>
        <v>77</v>
      </c>
      <c r="G644" s="202">
        <f>'Poliof40 - LIVROB'!$F$246</f>
        <v>68</v>
      </c>
      <c r="H644" s="202">
        <f>'Poliof40 - LIVROB'!$G$246</f>
        <v>78</v>
      </c>
      <c r="I644" s="202">
        <f>'Poliof40 - LIVROB'!$H$246</f>
        <v>71</v>
      </c>
      <c r="J644" s="202">
        <f>'Poliof40 - LIVROB'!$I$246</f>
        <v>97</v>
      </c>
      <c r="K644" s="202">
        <f>'Poliof40 - LIVROB'!$J$246</f>
        <v>85</v>
      </c>
      <c r="L644" s="202">
        <f>'Poliof40 - LIVROB'!$K$246</f>
        <v>79</v>
      </c>
      <c r="M644" s="202">
        <f>'Poliof40 - LIVROB'!$L$246</f>
        <v>72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t="12.75" hidden="1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t="12.75" hidden="1">
      <c r="A646" s="15"/>
      <c r="B646" s="167" t="s">
        <v>242</v>
      </c>
      <c r="C646" s="215">
        <f>'Poliof40 - LIVROB'!$I$248</f>
        <v>1</v>
      </c>
      <c r="D646" s="202">
        <f>'Poliof40 - LIVROB'!$B$254+'Poliof40 - LIVROB'!$C$254</f>
        <v>1019</v>
      </c>
      <c r="E646" s="202">
        <f>'Poliof40 - LIVROB'!$D$254</f>
        <v>1535</v>
      </c>
      <c r="F646" s="202">
        <f>'Poliof40 - LIVROB'!$E$254</f>
        <v>2085</v>
      </c>
      <c r="G646" s="202">
        <f>'Poliof40 - LIVROB'!$F$254</f>
        <v>2028</v>
      </c>
      <c r="H646" s="202">
        <f>'Poliof40 - LIVROB'!$G$254</f>
        <v>2141</v>
      </c>
      <c r="I646" s="202">
        <f>'Poliof40 - LIVROB'!$H$254</f>
        <v>2343</v>
      </c>
      <c r="J646" s="202">
        <f>'Poliof40 - LIVROB'!$I$254</f>
        <v>2554</v>
      </c>
      <c r="K646" s="202">
        <f>'Poliof40 - LIVROB'!$J$254</f>
        <v>2457</v>
      </c>
      <c r="L646" s="202">
        <f>'Poliof40 - LIVROB'!$K$254</f>
        <v>2408</v>
      </c>
      <c r="M646" s="202">
        <f>'Poliof40 - LIVROB'!$L$254</f>
        <v>2255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Bot="1" thickTop="1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t="12.75" hidden="1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105</v>
      </c>
      <c r="F650" s="202">
        <f>'Poliof40 - LIVROB'!$E$290</f>
        <v>0</v>
      </c>
      <c r="G650" s="202">
        <f>'Poliof40 - LIVROB'!$F$290</f>
        <v>105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105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3" s="6" customFormat="1" ht="13.5" hidden="1" thickTop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s="175" customFormat="1" ht="13.5" hidden="1" thickBot="1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3" s="6" customFormat="1" ht="12.75" hidden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s="6" customFormat="1" ht="20.25" hidden="1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s="6" customFormat="1" ht="18" hidden="1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t="12.75" hidden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t="12.75" hidden="1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customHeight="1" hidden="1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t="12.75" hidden="1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Bot="1" thickTop="1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t="12.75" hidden="1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t="12.75" hidden="1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t="12.75" hidden="1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t="12.75" hidden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t="12.75" hidden="1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Bot="1" thickTop="1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customHeight="1" hidden="1" thickTop="1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t="12.75" hidden="1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t="12.75" hidden="1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t="12.75" hidden="1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t="12.75" hidden="1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t="12.75" hidden="1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t="12.75" hidden="1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t="12.75" hidden="1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t="12.75" hidden="1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t="12.75" hidden="1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Bot="1" thickTop="1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customHeight="1" hidden="1" thickBot="1" thickTop="1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customHeight="1" hidden="1" thickBot="1" thickTop="1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t="12.75" hidden="1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t="12.75" hidden="1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t="12.75" hidden="1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t="12.75" hidden="1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t="12.75" hidden="1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t="12.7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Bot="1" thickTop="1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>
      <c r="A714" s="16"/>
      <c r="B714" s="42" t="s">
        <v>114</v>
      </c>
      <c r="C714" s="44"/>
      <c r="D714" s="44">
        <f>IF('Poliof40 - LIVROB'!$G$510=2,'Poliof40 - LIVROB'!$C$85,0)</f>
        <v>16</v>
      </c>
      <c r="E714" s="79"/>
      <c r="F714" s="44"/>
      <c r="G714" s="44">
        <f>IF('Poliof40 - LIVROB'!$G$510=2,'Poliof40 - LIVROB'!$D$85,0)</f>
        <v>16</v>
      </c>
      <c r="H714" s="79"/>
      <c r="I714" s="44"/>
      <c r="J714" s="44">
        <f>IF('Poliof40 - LIVROB'!$G$510=2,'Poliof40 - LIVROB'!$E$85,0)</f>
        <v>11</v>
      </c>
      <c r="K714" s="79"/>
      <c r="L714" s="44"/>
      <c r="M714" s="44">
        <f>IF('Poliof40 - LIVROB'!$G$510=2,'Poliof40 - LIVROB'!$F$85,0)</f>
        <v>11</v>
      </c>
      <c r="N714" s="44"/>
      <c r="O714" s="46">
        <f>IF('Poliof40 - LIVROB'!$G$510=2,'Poliof40 - LIVROB'!$G$85,0)</f>
        <v>16</v>
      </c>
      <c r="P714" s="46">
        <f>IF('Poliof40 - LIVROB'!$G$510=2,'Poliof40 - LIVROB'!$H$85,0)</f>
        <v>16</v>
      </c>
      <c r="Q714" s="46">
        <f>IF('Poliof40 - LIVROB'!$G$510=2,'Poliof40 - LIVROB'!$I$85,0)</f>
        <v>11</v>
      </c>
      <c r="R714" s="46">
        <f>IF('Poliof40 - LIVROB'!$G$510=2,'Poliof40 - LIVROB'!$J$85,0)</f>
        <v>16</v>
      </c>
      <c r="S714" s="46">
        <f>IF('Poliof40 - LIVROB'!$G$510=2,'Poliof40 - LIVROB'!$K$85,0)</f>
        <v>16</v>
      </c>
      <c r="T714" s="46">
        <f>IF('Poliof40 - LIVROB'!$G$510=2,'Poliof40 - LIVROB'!$L$85,0)</f>
        <v>16</v>
      </c>
      <c r="U714" s="46">
        <f>IF('Poliof40 - LIVROB'!$G$510=2,'Poliof40 - LIVROB'!$M$85,0)</f>
        <v>16</v>
      </c>
      <c r="V714" s="47">
        <f>IF('Poliof40 - LIVROB'!$G$510=2,'Poliof40 - LIVROB'!$N$85,0)</f>
        <v>11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>
      <c r="A715" s="16"/>
      <c r="B715" s="48" t="s">
        <v>115</v>
      </c>
      <c r="C715" s="50"/>
      <c r="D715" s="50">
        <f>IF('Poliof40 - LIVROB'!$G$510=2,'Poliof40 - LIVROB'!$C$92,0)</f>
        <v>5</v>
      </c>
      <c r="E715" s="80"/>
      <c r="F715" s="50"/>
      <c r="G715" s="50">
        <f>IF('Poliof40 - LIVROB'!$G$510=2,'Poliof40 - LIVROB'!$D$92,0)</f>
        <v>5</v>
      </c>
      <c r="H715" s="80"/>
      <c r="I715" s="50"/>
      <c r="J715" s="50">
        <f>IF('Poliof40 - LIVROB'!$G$510=2,'Poliof40 - LIVROB'!$E$92,0)</f>
        <v>5</v>
      </c>
      <c r="K715" s="80"/>
      <c r="L715" s="50"/>
      <c r="M715" s="50">
        <f>IF('Poliof40 - LIVROB'!$G$510=2,'Poliof40 - LIVROB'!$F$92,0)</f>
        <v>5</v>
      </c>
      <c r="N715" s="50"/>
      <c r="O715" s="52">
        <f>IF('Poliof40 - LIVROB'!$G$510=2,'Poliof40 - LIVROB'!$G$92,0)</f>
        <v>6</v>
      </c>
      <c r="P715" s="52">
        <f>IF('Poliof40 - LIVROB'!$G$510=2,'Poliof40 - LIVROB'!$H$92,0)</f>
        <v>6</v>
      </c>
      <c r="Q715" s="52">
        <f>IF('Poliof40 - LIVROB'!$G$510=2,'Poliof40 - LIVROB'!$I$92,0)</f>
        <v>6</v>
      </c>
      <c r="R715" s="52">
        <f>IF('Poliof40 - LIVROB'!$G$510=2,'Poliof40 - LIVROB'!$J$92,0)</f>
        <v>8</v>
      </c>
      <c r="S715" s="52">
        <f>IF('Poliof40 - LIVROB'!$G$510=2,'Poliof40 - LIVROB'!$K$92,0)</f>
        <v>8</v>
      </c>
      <c r="T715" s="52">
        <f>IF('Poliof40 - LIVROB'!$G$510=2,'Poliof40 - LIVROB'!$L$92,0)</f>
        <v>8</v>
      </c>
      <c r="U715" s="52">
        <f>IF('Poliof40 - LIVROB'!$G$510=2,'Poliof40 - LIVROB'!$M$92,0)</f>
        <v>8</v>
      </c>
      <c r="V715" s="53">
        <f>IF('Poliof40 - LIVROB'!$G$510=2,'Poliof40 - LIVROB'!$N$92,0)</f>
        <v>8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Bot="1" thickTop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Bot="1" thickTop="1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customHeight="1" hidden="1" thickTop="1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t="12.75" hidden="1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t="12.75" hidden="1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t="12.75" hidden="1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</v>
      </c>
      <c r="F721" s="371">
        <v>1</v>
      </c>
      <c r="G721" s="371">
        <v>8</v>
      </c>
      <c r="H721" s="366">
        <f>IF(F721=1,G721*'Poliof40 - LIVROB'!$F$537,IF(F721=2,G721*'Poliof40 - LIVROB'!$F$538,0))+H720</f>
        <v>38.95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>
      <c r="A722" s="15"/>
      <c r="B722" s="65"/>
      <c r="C722" s="371"/>
      <c r="D722" s="371"/>
      <c r="E722" s="53">
        <f>IF(C722=1,D722*'Poliof40 - LIVROB'!$F$537,IF(C722=2,D722*'Poliof40 - LIVROB'!$F$538,0))+E721</f>
        <v>38.95</v>
      </c>
      <c r="F722" s="371"/>
      <c r="G722" s="371"/>
      <c r="H722" s="53">
        <f>IF(F722=1,G722*'Poliof40 - LIVROB'!$F$537,IF(F722=2,G722*'Poliof40 - LIVROB'!$F$538,0))+H721</f>
        <v>38.95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Bot="1" thickTop="1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customHeight="1" hidden="1" thickBot="1" thickTop="1">
      <c r="A724" s="15"/>
      <c r="B724" s="322"/>
      <c r="C724" s="323"/>
      <c r="D724" s="324"/>
      <c r="E724" s="324" t="s">
        <v>270</v>
      </c>
      <c r="F724" s="325">
        <f>MAXA(E722,H722,K722,N722)</f>
        <v>38.95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Bot="1" thickTop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t="12.75" hidden="1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t="12.75" hidden="1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t="12.75" hidden="1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t="12.75" hidden="1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t="12.75" hidden="1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t="12.7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t="12.75" hidden="1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Bot="1" thickTop="1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>
      <c r="A741" s="15"/>
      <c r="B741" s="82" t="s">
        <v>116</v>
      </c>
      <c r="C741" s="83"/>
      <c r="D741" s="83">
        <f>IF('Poliof40 - LIVROB'!$G$510=2,'Poliof40 - LIVROB'!$C$99,0)</f>
        <v>22</v>
      </c>
      <c r="E741" s="84"/>
      <c r="F741" s="83"/>
      <c r="G741" s="83">
        <f>IF('Poliof40 - LIVROB'!$G$510=2,'Poliof40 - LIVROB'!$D$99,0)</f>
        <v>20</v>
      </c>
      <c r="H741" s="84"/>
      <c r="I741" s="83"/>
      <c r="J741" s="83">
        <f>IF('Poliof40 - LIVROB'!$G$510=2,'Poliof40 - LIVROB'!$E$99,0)</f>
        <v>11</v>
      </c>
      <c r="K741" s="84"/>
      <c r="L741" s="83"/>
      <c r="M741" s="83">
        <f>IF('Poliof40 - LIVROB'!$G$510=2,'Poliof40 - LIVROB'!$F$99,0)</f>
        <v>5</v>
      </c>
      <c r="N741" s="84"/>
      <c r="O741" s="84">
        <f>IF('Poliof40 - LIVROB'!$G$510=2,'Poliof40 - LIVROB'!$G$99,0)</f>
        <v>27</v>
      </c>
      <c r="P741" s="84">
        <f>IF('Poliof40 - LIVROB'!$G$510=2,'Poliof40 - LIVROB'!$H$99,0)</f>
        <v>17</v>
      </c>
      <c r="Q741" s="84">
        <f>IF('Poliof40 - LIVROB'!$G$510=2,'Poliof40 - LIVROB'!$I$99,0)</f>
        <v>12</v>
      </c>
      <c r="R741" s="84">
        <f>IF('Poliof40 - LIVROB'!$G$510=2,'Poliof40 - LIVROB'!$J$99,0)</f>
        <v>5</v>
      </c>
      <c r="S741" s="84">
        <f>IF('Poliof40 - LIVROB'!$G$510=2,'Poliof40 - LIVROB'!$K$99,0)</f>
        <v>29</v>
      </c>
      <c r="T741" s="84">
        <f>IF('Poliof40 - LIVROB'!$G$510=2,'Poliof40 - LIVROB'!$L$99,0)</f>
        <v>18</v>
      </c>
      <c r="U741" s="84">
        <f>IF('Poliof40 - LIVROB'!$G$510=2,'Poliof40 - LIVROB'!$M$99,0)</f>
        <v>13</v>
      </c>
      <c r="V741" s="85">
        <f>IF('Poliof40 - LIVROB'!$G$510=2,'Poliof40 - LIVROB'!$N$99,0)</f>
        <v>6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t="12.75" hidden="1">
      <c r="A742" s="15"/>
      <c r="B742" s="42" t="s">
        <v>117</v>
      </c>
      <c r="C742" s="44"/>
      <c r="D742" s="44">
        <f>IF('Poliof40 - LIVROB'!$G$510=2,'Poliof40 - LIVROB'!$C$106,0)</f>
        <v>10</v>
      </c>
      <c r="E742" s="79"/>
      <c r="F742" s="44"/>
      <c r="G742" s="44">
        <f>IF('Poliof40 - LIVROB'!$G$510=2,'Poliof40 - LIVROB'!$D$106,0)</f>
        <v>10</v>
      </c>
      <c r="H742" s="79"/>
      <c r="I742" s="44"/>
      <c r="J742" s="44">
        <f>IF('Poliof40 - LIVROB'!$G$510=2,'Poliof40 - LIVROB'!$E$106,0)</f>
        <v>10</v>
      </c>
      <c r="K742" s="79"/>
      <c r="L742" s="44"/>
      <c r="M742" s="44">
        <f>IF('Poliof40 - LIVROB'!$G$510=2,'Poliof40 - LIVROB'!$F$106,0)</f>
        <v>10</v>
      </c>
      <c r="N742" s="79"/>
      <c r="O742" s="79">
        <f>IF('Poliof40 - LIVROB'!$G$510=2,'Poliof40 - LIVROB'!$G$106,0)</f>
        <v>10</v>
      </c>
      <c r="P742" s="79">
        <f>IF('Poliof40 - LIVROB'!$G$510=2,'Poliof40 - LIVROB'!$H$106,0)</f>
        <v>11</v>
      </c>
      <c r="Q742" s="79">
        <f>IF('Poliof40 - LIVROB'!$G$510=2,'Poliof40 - LIVROB'!$I$106,0)</f>
        <v>18</v>
      </c>
      <c r="R742" s="79">
        <f>IF('Poliof40 - LIVROB'!$G$510=2,'Poliof40 - LIVROB'!$J$106,0)</f>
        <v>18</v>
      </c>
      <c r="S742" s="79">
        <f>IF('Poliof40 - LIVROB'!$G$510=2,'Poliof40 - LIVROB'!$K$106,0)</f>
        <v>18</v>
      </c>
      <c r="T742" s="79">
        <f>IF('Poliof40 - LIVROB'!$G$510=2,'Poliof40 - LIVROB'!$L$106,0)</f>
        <v>18</v>
      </c>
      <c r="U742" s="79">
        <f>IF('Poliof40 - LIVROB'!$G$510=2,'Poliof40 - LIVROB'!$M$106,0)</f>
        <v>18</v>
      </c>
      <c r="V742" s="81">
        <f>IF('Poliof40 - LIVROB'!$G$510=2,'Poliof40 - LIVROB'!$N$106,0)</f>
        <v>18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>
      <c r="A743" s="15"/>
      <c r="B743" s="48" t="s">
        <v>118</v>
      </c>
      <c r="C743" s="50"/>
      <c r="D743" s="50">
        <f>IF('Poliof40 - LIVROB'!$G$510=2,'Poliof40 - LIVROB'!$C$113,0)</f>
        <v>16</v>
      </c>
      <c r="E743" s="80"/>
      <c r="F743" s="50"/>
      <c r="G743" s="50">
        <f>IF('Poliof40 - LIVROB'!$G$510=2,'Poliof40 - LIVROB'!$D$113,0)</f>
        <v>16</v>
      </c>
      <c r="H743" s="80"/>
      <c r="I743" s="50"/>
      <c r="J743" s="50">
        <f>IF('Poliof40 - LIVROB'!$G$510=2,'Poliof40 - LIVROB'!$E$113,0)</f>
        <v>16</v>
      </c>
      <c r="K743" s="80"/>
      <c r="L743" s="50"/>
      <c r="M743" s="50">
        <f>IF('Poliof40 - LIVROB'!$G$510=2,'Poliof40 - LIVROB'!$F$113,0)</f>
        <v>16</v>
      </c>
      <c r="N743" s="80"/>
      <c r="O743" s="80">
        <f>IF('Poliof40 - LIVROB'!$G$510=2,'Poliof40 - LIVROB'!$G$113,0)</f>
        <v>22</v>
      </c>
      <c r="P743" s="80">
        <f>IF('Poliof40 - LIVROB'!$G$510=2,'Poliof40 - LIVROB'!$H$113,0)</f>
        <v>22</v>
      </c>
      <c r="Q743" s="80">
        <f>IF('Poliof40 - LIVROB'!$G$510=2,'Poliof40 - LIVROB'!$I$113,0)</f>
        <v>22</v>
      </c>
      <c r="R743" s="80">
        <f>IF('Poliof40 - LIVROB'!$G$510=2,'Poliof40 - LIVROB'!$J$113,0)</f>
        <v>22</v>
      </c>
      <c r="S743" s="80">
        <f>IF('Poliof40 - LIVROB'!$G$510=2,'Poliof40 - LIVROB'!$K$113,0)</f>
        <v>22</v>
      </c>
      <c r="T743" s="80">
        <f>IF('Poliof40 - LIVROB'!$G$510=2,'Poliof40 - LIVROB'!$L$113,0)</f>
        <v>22</v>
      </c>
      <c r="U743" s="80">
        <f>IF('Poliof40 - LIVROB'!$G$510=2,'Poliof40 - LIVROB'!$M$113,0)</f>
        <v>22</v>
      </c>
      <c r="V743" s="66">
        <f>IF('Poliof40 - LIVROB'!$G$510=2,'Poliof40 - LIVROB'!$N$113,0)</f>
        <v>22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Bot="1" thickTop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Bot="1" thickTop="1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customHeight="1" hidden="1" thickTop="1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t="12.75" hidden="1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t="12.75" hidden="1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t="12.75" hidden="1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t="12.75" hidden="1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t="12.75" hidden="1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Bot="1" thickTop="1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customHeight="1" hidden="1" thickBot="1" thickTop="1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Bot="1" thickTop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t="12.75" hidden="1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t="12.75" hidden="1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t="12.75" hidden="1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t="12.75" hidden="1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t="12.75" hidden="1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t="12.75" hidden="1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t="12.75" hidden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t="12.75" hidden="1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t="12.75" hidden="1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t="12.75" hidden="1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Bot="1" thickTop="1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23.157894736842106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22.105263157894736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22.105263157894736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29.47368421052632</v>
      </c>
      <c r="N774" s="84"/>
      <c r="O774" s="88">
        <f>IF('Poliof40 - LIVROB'!$G$511&lt;&gt;3,IF('Poliof40 - LIVROB'!$K$165&gt;0,('Poliof40 - LIVROB'!$H$170)/'Poliof40 - LIVROB'!$K$165,0),'Poliof40 - LIVROB'!$H$171)</f>
        <v>29.47368421052632</v>
      </c>
      <c r="P774" s="88">
        <f>IF('Poliof40 - LIVROB'!$G$511&lt;&gt;3,IF('Poliof40 - LIVROB'!$K$165&gt;0,('Poliof40 - LIVROB'!$I$170)/'Poliof40 - LIVROB'!$K$165,0),'Poliof40 - LIVROB'!$I$171)</f>
        <v>24.210526315789476</v>
      </c>
      <c r="Q774" s="88">
        <f>IF('Poliof40 - LIVROB'!$G$511&lt;&gt;3,IF('Poliof40 - LIVROB'!$K$165&gt;0,('Poliof40 - LIVROB'!$J$170)/'Poliof40 - LIVROB'!$K$165,0),'Poliof40 - LIVROB'!$J$171)</f>
        <v>33.68421052631579</v>
      </c>
      <c r="R774" s="88">
        <f>IF('Poliof40 - LIVROB'!$G$511&lt;&gt;3,IF('Poliof40 - LIVROB'!$K$165&gt;0,('Poliof40 - LIVROB'!$K$170)/'Poliof40 - LIVROB'!$K$165,0),'Poliof40 - LIVROB'!$K$171)</f>
        <v>33.68421052631579</v>
      </c>
      <c r="S774" s="88">
        <f>IF('Poliof40 - LIVROB'!$G$511&lt;&gt;3,IF('Poliof40 - LIVROB'!$K$165&gt;0,('Poliof40 - LIVROB'!$L$170)/'Poliof40 - LIVROB'!$K$165,0),'Poliof40 - LIVROB'!$L$171)</f>
        <v>33.68421052631579</v>
      </c>
      <c r="T774" s="88">
        <f>IF('Poliof40 - LIVROB'!$G$511&lt;&gt;3,IF('Poliof40 - LIVROB'!$K$165&gt;0,('Poliof40 - LIVROB'!$M$170)/'Poliof40 - LIVROB'!$K$165,0),'Poliof40 - LIVROB'!$M$171)</f>
        <v>33.68421052631579</v>
      </c>
      <c r="U774" s="88">
        <f>IF('Poliof40 - LIVROB'!$G$511&lt;&gt;3,IF('Poliof40 - LIVROB'!$K$165&gt;0,('Poliof40 - LIVROB'!$N$170)/'Poliof40 - LIVROB'!$K$165,0),'Poliof40 - LIVROB'!$N$171)</f>
        <v>28.42105263157895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33.68421052631579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38.94736842105263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32.631578947368425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62.10526315789474</v>
      </c>
      <c r="N775" s="80"/>
      <c r="O775" s="94">
        <f>IF('Poliof40 - LIVROB'!$G$511&lt;&gt;3,IF('Poliof40 - LIVROB'!$K$173&gt;0,('Poliof40 - LIVROB'!$H$178)/'Poliof40 - LIVROB'!$K$173,0),'Poliof40 - LIVROB'!$H$179)</f>
        <v>52.631578947368425</v>
      </c>
      <c r="P775" s="94">
        <f>IF('Poliof40 - LIVROB'!$G$511&lt;&gt;3,IF('Poliof40 - LIVROB'!$K$173&gt;0,('Poliof40 - LIVROB'!$I$178)/'Poliof40 - LIVROB'!$K$173,0),'Poliof40 - LIVROB'!$I$179)</f>
        <v>54.73684210526316</v>
      </c>
      <c r="Q775" s="94">
        <f>IF('Poliof40 - LIVROB'!$G$511&lt;&gt;3,IF('Poliof40 - LIVROB'!$K$173&gt;0,('Poliof40 - LIVROB'!$J$178)/'Poliof40 - LIVROB'!$K$173,0),'Poliof40 - LIVROB'!$J$179)</f>
        <v>47.36842105263158</v>
      </c>
      <c r="R775" s="94">
        <f>IF('Poliof40 - LIVROB'!$G$511&lt;&gt;3,IF('Poliof40 - LIVROB'!$K$173&gt;0,('Poliof40 - LIVROB'!$K$178)/'Poliof40 - LIVROB'!$K$173,0),'Poliof40 - LIVROB'!$K$179)</f>
        <v>72.63157894736842</v>
      </c>
      <c r="S775" s="94">
        <f>IF('Poliof40 - LIVROB'!$G$511&lt;&gt;3,IF('Poliof40 - LIVROB'!$K$173&gt;0,('Poliof40 - LIVROB'!$L$178)/'Poliof40 - LIVROB'!$K$173,0),'Poliof40 - LIVROB'!$L$179)</f>
        <v>61.05263157894737</v>
      </c>
      <c r="T775" s="94">
        <f>IF('Poliof40 - LIVROB'!$G$511&lt;&gt;3,IF('Poliof40 - LIVROB'!$K$173&gt;0,('Poliof40 - LIVROB'!$M$178)/'Poliof40 - LIVROB'!$K$173,0),'Poliof40 - LIVROB'!$M$179)</f>
        <v>55.78947368421053</v>
      </c>
      <c r="U775" s="94">
        <f>IF('Poliof40 - LIVROB'!$G$511&lt;&gt;3,IF('Poliof40 - LIVROB'!$K$173&gt;0,('Poliof40 - LIVROB'!$N$178)/'Poliof40 - LIVROB'!$K$173,0),'Poliof40 - LIVROB'!$N$179)</f>
        <v>48.42105263157895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t="12.75" hidden="1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Bot="1" thickTop="1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customHeight="1" hidden="1" thickTop="1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t="12.75" hidden="1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70.49000000000001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t="12.75" hidden="1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t="12.75" hidden="1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Bot="1" thickTop="1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customHeight="1" hidden="1" thickBot="1" thickTop="1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Bot="1" thickTop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t="12.75" hidden="1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t="12.75" hidden="1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t="12.75" hidden="1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t="12.75" hidden="1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t="12.75" hidden="1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t="12.75" hidden="1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t="12.75" hidden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t="12.75" hidden="1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t="12.75" hidden="1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t="12.75" hidden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t="12.75" hidden="1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Bot="1" thickTop="1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17.77777777777778</v>
      </c>
      <c r="E807" s="101"/>
      <c r="F807" s="44"/>
      <c r="G807" s="102">
        <f>IF('Poliof40 - LIVROB'!$K$181&gt;0,('Poliof40 - LIVROB'!$E$185)/'Poliof40 - LIVROB'!$K$181,0)</f>
        <v>12.222222222222221</v>
      </c>
      <c r="H807" s="79"/>
      <c r="I807" s="44"/>
      <c r="J807" s="102">
        <f>IF('Poliof40 - LIVROB'!$K$181&gt;0,('Poliof40 - LIVROB'!$F$185)/'Poliof40 - LIVROB'!$K$181,0)</f>
        <v>12.222222222222221</v>
      </c>
      <c r="K807" s="79"/>
      <c r="L807" s="44"/>
      <c r="M807" s="102">
        <f>IF('Poliof40 - LIVROB'!$K$181&gt;0,('Poliof40 - LIVROB'!$G$185)/'Poliof40 - LIVROB'!$K$181,0)</f>
        <v>17.77777777777778</v>
      </c>
      <c r="N807" s="79" t="s">
        <v>0</v>
      </c>
      <c r="O807" s="99">
        <f>IF('Poliof40 - LIVROB'!$K$181&gt;0,('Poliof40 - LIVROB'!$H$185)/'Poliof40 - LIVROB'!$K$181,0)</f>
        <v>17.77777777777778</v>
      </c>
      <c r="P807" s="99">
        <f>IF('Poliof40 - LIVROB'!$K$181&gt;0,('Poliof40 - LIVROB'!$I$185)/'Poliof40 - LIVROB'!$K$181,0)</f>
        <v>12.222222222222221</v>
      </c>
      <c r="Q807" s="99">
        <f>IF('Poliof40 - LIVROB'!$K$181&gt;0,('Poliof40 - LIVROB'!$J$185)/'Poliof40 - LIVROB'!$K$181,0)</f>
        <v>17.77777777777778</v>
      </c>
      <c r="R807" s="99">
        <f>IF('Poliof40 - LIVROB'!$K$181&gt;0,('Poliof40 - LIVROB'!$K$185)/'Poliof40 - LIVROB'!$K$181,0)</f>
        <v>17.77777777777778</v>
      </c>
      <c r="S807" s="99">
        <f>IF('Poliof40 - LIVROB'!$K$181&gt;0,('Poliof40 - LIVROB'!$L$185)/'Poliof40 - LIVROB'!$K$181,0)</f>
        <v>17.77777777777778</v>
      </c>
      <c r="T807" s="99">
        <f>IF('Poliof40 - LIVROB'!$K$181&gt;0,('Poliof40 - LIVROB'!$M$185)/'Poliof40 - LIVROB'!$K$181,0)</f>
        <v>17.77777777777778</v>
      </c>
      <c r="U807" s="99">
        <f>IF('Poliof40 - LIVROB'!$K$181&gt;0,('Poliof40 - LIVROB'!$N$185)/'Poliof40 - LIVROB'!$K$181,0)</f>
        <v>12.222222222222221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t="12.75" hidden="1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8.88888888888889</v>
      </c>
      <c r="E808" s="101"/>
      <c r="F808" s="44"/>
      <c r="G808" s="102">
        <f>IF('Poliof40 - LIVROB'!$K$188&gt;0,('Poliof40 - LIVROB'!$E$192)/'Poliof40 - LIVROB'!$K$188,0)</f>
        <v>11.11111111111111</v>
      </c>
      <c r="H808" s="79"/>
      <c r="I808" s="44"/>
      <c r="J808" s="102">
        <f>IF('Poliof40 - LIVROB'!$K$188&gt;0,('Poliof40 - LIVROB'!$F$192)/'Poliof40 - LIVROB'!$K$188,0)</f>
        <v>11.11111111111111</v>
      </c>
      <c r="K808" s="79"/>
      <c r="L808" s="44"/>
      <c r="M808" s="102">
        <f>IF('Poliof40 - LIVROB'!$K$188&gt;0,('Poliof40 - LIVROB'!$G$192)/'Poliof40 - LIVROB'!$K$188,0)</f>
        <v>13.333333333333332</v>
      </c>
      <c r="N808" s="79" t="s">
        <v>0</v>
      </c>
      <c r="O808" s="99">
        <f>IF('Poliof40 - LIVROB'!$K$188&gt;0,('Poliof40 - LIVROB'!$H$192)/'Poliof40 - LIVROB'!$K$188,0)</f>
        <v>13.333333333333332</v>
      </c>
      <c r="P808" s="99">
        <f>IF('Poliof40 - LIVROB'!$K$188&gt;0,('Poliof40 - LIVROB'!$I$192)/'Poliof40 - LIVROB'!$K$188,0)</f>
        <v>13.333333333333332</v>
      </c>
      <c r="Q808" s="99">
        <f>IF('Poliof40 - LIVROB'!$K$188&gt;0,('Poliof40 - LIVROB'!$J$192)/'Poliof40 - LIVROB'!$K$188,0)</f>
        <v>17.77777777777778</v>
      </c>
      <c r="R808" s="99">
        <f>IF('Poliof40 - LIVROB'!$K$188&gt;0,('Poliof40 - LIVROB'!$K$192)/'Poliof40 - LIVROB'!$K$188,0)</f>
        <v>17.77777777777778</v>
      </c>
      <c r="S808" s="99">
        <f>IF('Poliof40 - LIVROB'!$K$188&gt;0,('Poliof40 - LIVROB'!$L$192)/'Poliof40 - LIVROB'!$K$188,0)</f>
        <v>17.77777777777778</v>
      </c>
      <c r="T808" s="99">
        <f>IF('Poliof40 - LIVROB'!$K$188&gt;0,('Poliof40 - LIVROB'!$M$192)/'Poliof40 - LIVROB'!$K$188,0)</f>
        <v>17.77777777777778</v>
      </c>
      <c r="U808" s="99">
        <f>IF('Poliof40 - LIVROB'!$K$188&gt;0,('Poliof40 - LIVROB'!$N$192)/'Poliof40 - LIVROB'!$K$188,0)</f>
        <v>17.77777777777778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t="12.75" hidden="1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16.666666666666668</v>
      </c>
      <c r="E809" s="101"/>
      <c r="F809" s="44"/>
      <c r="G809" s="102">
        <f>IF('Poliof40 - LIVROB'!$K$195&gt;0,('Poliof40 - LIVROB'!$E$199)/'Poliof40 - LIVROB'!$K$195,0)</f>
        <v>12.222222222222221</v>
      </c>
      <c r="H809" s="79"/>
      <c r="I809" s="44"/>
      <c r="J809" s="102">
        <f>IF('Poliof40 - LIVROB'!$K$195&gt;0,('Poliof40 - LIVROB'!$F$199)/'Poliof40 - LIVROB'!$K$195,0)</f>
        <v>5.555555555555555</v>
      </c>
      <c r="K809" s="79"/>
      <c r="L809" s="44"/>
      <c r="M809" s="102">
        <f>IF('Poliof40 - LIVROB'!$K$195&gt;0,('Poliof40 - LIVROB'!$G$199)/'Poliof40 - LIVROB'!$K$195,0)</f>
        <v>30</v>
      </c>
      <c r="N809" s="79" t="s">
        <v>0</v>
      </c>
      <c r="O809" s="99">
        <f>IF('Poliof40 - LIVROB'!$K$195&gt;0,('Poliof40 - LIVROB'!$H$199)/'Poliof40 - LIVROB'!$K$195,0)</f>
        <v>18.88888888888889</v>
      </c>
      <c r="P809" s="99">
        <f>IF('Poliof40 - LIVROB'!$K$195&gt;0,('Poliof40 - LIVROB'!$I$199)/'Poliof40 - LIVROB'!$K$195,0)</f>
        <v>13.333333333333332</v>
      </c>
      <c r="Q809" s="99">
        <f>IF('Poliof40 - LIVROB'!$K$195&gt;0,('Poliof40 - LIVROB'!$J$199)/'Poliof40 - LIVROB'!$K$195,0)</f>
        <v>5.555555555555555</v>
      </c>
      <c r="R809" s="99">
        <f>IF('Poliof40 - LIVROB'!$K$195&gt;0,('Poliof40 - LIVROB'!$K$199)/'Poliof40 - LIVROB'!$K$195,0)</f>
        <v>32.22222222222222</v>
      </c>
      <c r="S809" s="99">
        <f>IF('Poliof40 - LIVROB'!$K$195&gt;0,('Poliof40 - LIVROB'!$L$199)/'Poliof40 - LIVROB'!$K$195,0)</f>
        <v>20</v>
      </c>
      <c r="T809" s="99">
        <f>IF('Poliof40 - LIVROB'!$K$195&gt;0,('Poliof40 - LIVROB'!$M$199)/'Poliof40 - LIVROB'!$K$195,0)</f>
        <v>14.444444444444445</v>
      </c>
      <c r="U809" s="99">
        <f>IF('Poliof40 - LIVROB'!$K$195&gt;0,('Poliof40 - LIVROB'!$N$199)/'Poliof40 - LIVROB'!$K$195,0)</f>
        <v>6.666666666666666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t="12.75" hidden="1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22.22222222222222</v>
      </c>
      <c r="E810" s="101"/>
      <c r="F810" s="44"/>
      <c r="G810" s="102">
        <f>IF('Poliof40 - LIVROB'!$K$202&gt;0,('Poliof40 - LIVROB'!$E$206)/'Poliof40 - LIVROB'!$K$202,0)</f>
        <v>22.22222222222222</v>
      </c>
      <c r="H810" s="79"/>
      <c r="I810" s="44"/>
      <c r="J810" s="102">
        <f>IF('Poliof40 - LIVROB'!$K$202&gt;0,('Poliof40 - LIVROB'!$F$206)/'Poliof40 - LIVROB'!$K$202,0)</f>
        <v>22.22222222222222</v>
      </c>
      <c r="K810" s="79"/>
      <c r="L810" s="44"/>
      <c r="M810" s="102">
        <f>IF('Poliof40 - LIVROB'!$K$202&gt;0,('Poliof40 - LIVROB'!$G$206)/'Poliof40 - LIVROB'!$K$202,0)</f>
        <v>22.22222222222222</v>
      </c>
      <c r="N810" s="79" t="s">
        <v>0</v>
      </c>
      <c r="O810" s="99">
        <f>IF('Poliof40 - LIVROB'!$K$202&gt;0,('Poliof40 - LIVROB'!$H$206)/'Poliof40 - LIVROB'!$K$202,0)</f>
        <v>24.444444444444443</v>
      </c>
      <c r="P810" s="99">
        <f>IF('Poliof40 - LIVROB'!$K$202&gt;0,('Poliof40 - LIVROB'!$I$206)/'Poliof40 - LIVROB'!$K$202,0)</f>
        <v>40</v>
      </c>
      <c r="Q810" s="99">
        <f>IF('Poliof40 - LIVROB'!$K$202&gt;0,('Poliof40 - LIVROB'!$J$206)/'Poliof40 - LIVROB'!$K$202,0)</f>
        <v>40</v>
      </c>
      <c r="R810" s="99">
        <f>IF('Poliof40 - LIVROB'!$K$202&gt;0,('Poliof40 - LIVROB'!$K$206)/'Poliof40 - LIVROB'!$K$202,0)</f>
        <v>40</v>
      </c>
      <c r="S810" s="99">
        <f>IF('Poliof40 - LIVROB'!$K$202&gt;0,('Poliof40 - LIVROB'!$L$206)/'Poliof40 - LIVROB'!$K$202,0)</f>
        <v>40</v>
      </c>
      <c r="T810" s="99">
        <f>IF('Poliof40 - LIVROB'!$K$202&gt;0,('Poliof40 - LIVROB'!$M$206)/'Poliof40 - LIVROB'!$K$202,0)</f>
        <v>40</v>
      </c>
      <c r="U810" s="99">
        <f>IF('Poliof40 - LIVROB'!$K$202&gt;0,('Poliof40 - LIVROB'!$N$206)/'Poliof40 - LIVROB'!$K$202,0)</f>
        <v>40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t="12.75" hidden="1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12.222222222222221</v>
      </c>
      <c r="E811" s="101"/>
      <c r="F811" s="44"/>
      <c r="G811" s="102">
        <f>IF('Poliof40 - LIVROB'!$K$209&gt;0,('Poliof40 - LIVROB'!$E$213)/'Poliof40 - LIVROB'!$K$209,0)</f>
        <v>17.77777777777778</v>
      </c>
      <c r="H811" s="79"/>
      <c r="I811" s="44"/>
      <c r="J811" s="102">
        <f>IF('Poliof40 - LIVROB'!$K$209&gt;0,('Poliof40 - LIVROB'!$F$213)/'Poliof40 - LIVROB'!$K$209,0)</f>
        <v>17.77777777777778</v>
      </c>
      <c r="K811" s="79"/>
      <c r="L811" s="44"/>
      <c r="M811" s="102">
        <f>IF('Poliof40 - LIVROB'!$K$209&gt;0,('Poliof40 - LIVROB'!$G$213)/'Poliof40 - LIVROB'!$K$209,0)</f>
        <v>24.444444444444443</v>
      </c>
      <c r="N811" s="79" t="s">
        <v>0</v>
      </c>
      <c r="O811" s="99">
        <f>IF('Poliof40 - LIVROB'!$K$209&gt;0,('Poliof40 - LIVROB'!$H$213)/'Poliof40 - LIVROB'!$K$209,0)</f>
        <v>24.444444444444443</v>
      </c>
      <c r="P811" s="99">
        <f>IF('Poliof40 - LIVROB'!$K$209&gt;0,('Poliof40 - LIVROB'!$I$213)/'Poliof40 - LIVROB'!$K$209,0)</f>
        <v>24.444444444444443</v>
      </c>
      <c r="Q811" s="99">
        <f>IF('Poliof40 - LIVROB'!$K$209&gt;0,('Poliof40 - LIVROB'!$J$213)/'Poliof40 - LIVROB'!$K$209,0)</f>
        <v>24.444444444444443</v>
      </c>
      <c r="R811" s="99">
        <f>IF('Poliof40 - LIVROB'!$K$209&gt;0,('Poliof40 - LIVROB'!$K$213)/'Poliof40 - LIVROB'!$K$209,0)</f>
        <v>24.444444444444443</v>
      </c>
      <c r="S811" s="99">
        <f>IF('Poliof40 - LIVROB'!$K$209&gt;0,('Poliof40 - LIVROB'!$L$213)/'Poliof40 - LIVROB'!$K$209,0)</f>
        <v>24.444444444444443</v>
      </c>
      <c r="T811" s="99">
        <f>IF('Poliof40 - LIVROB'!$K$209&gt;0,('Poliof40 - LIVROB'!$M$213)/'Poliof40 - LIVROB'!$K$209,0)</f>
        <v>24.444444444444443</v>
      </c>
      <c r="U811" s="99">
        <f>IF('Poliof40 - LIVROB'!$K$209&gt;0,('Poliof40 - LIVROB'!$N$213)/'Poliof40 - LIVROB'!$K$209,0)</f>
        <v>24.444444444444443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t="12.75" hidden="1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t="12.75" hidden="1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Bot="1" thickTop="1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customHeight="1" hidden="1" thickTop="1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t="12.75" hidden="1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t="12.75" hidden="1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67.24000000000001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t="12.75" hidden="1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94.96000000000001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t="12.75" hidden="1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t="12.75" hidden="1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t="12.75" hidden="1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t="12.75" hidden="1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t="12.75" hidden="1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t="12.75" hidden="1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t="12.75" hidden="1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t="12.75" hidden="1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t="12.75" hidden="1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t="12.75" hidden="1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Bot="1" thickTop="1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customHeight="1" hidden="1" thickBot="1" thickTop="1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Bot="1" thickTop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t="12.75" hidden="1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t="12.75" hidden="1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t="12.75" hidden="1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t="12.75" hidden="1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t="12.75" hidden="1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t="12.75" hidden="1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t="12.75" hidden="1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t="12.75" hidden="1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t="12.75" hidden="1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t="12.75" hidden="1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Bot="1" thickTop="1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14.117647058823529</v>
      </c>
      <c r="E854" s="90"/>
      <c r="F854" s="83"/>
      <c r="G854" s="91">
        <f>IF('Poliof40 - LIVROB'!$K$256&gt;0,('Poliof40 - LIVROB'!$E$260)/'Poliof40 - LIVROB'!$K$256,0)</f>
        <v>25.88235294117647</v>
      </c>
      <c r="H854" s="84"/>
      <c r="I854" s="83"/>
      <c r="J854" s="91">
        <f>IF('Poliof40 - LIVROB'!$K$256&gt;0,('Poliof40 - LIVROB'!$F$260)/'Poliof40 - LIVROB'!$K$256,0)</f>
        <v>34.11764705882353</v>
      </c>
      <c r="K854" s="84"/>
      <c r="L854" s="83"/>
      <c r="M854" s="91">
        <f>IF('Poliof40 - LIVROB'!$K$256&gt;0,('Poliof40 - LIVROB'!$G$260)/'Poliof40 - LIVROB'!$K$256,0)</f>
        <v>34.11764705882353</v>
      </c>
      <c r="N854" s="84"/>
      <c r="O854" s="88">
        <f>IF('Poliof40 - LIVROB'!$K$256&gt;0,('Poliof40 - LIVROB'!$H$260)/'Poliof40 - LIVROB'!$K$256,0)</f>
        <v>28.235294117647058</v>
      </c>
      <c r="P854" s="88">
        <f>IF('Poliof40 - LIVROB'!$K$256&gt;0,('Poliof40 - LIVROB'!$I$260)/'Poliof40 - LIVROB'!$K$256,0)</f>
        <v>40</v>
      </c>
      <c r="Q854" s="88">
        <f>IF('Poliof40 - LIVROB'!$K$256&gt;0,('Poliof40 - LIVROB'!$J$260)/'Poliof40 - LIVROB'!$K$256,0)</f>
        <v>40</v>
      </c>
      <c r="R854" s="88">
        <f>IF('Poliof40 - LIVROB'!$K$256&gt;0,('Poliof40 - LIVROB'!$K$260)/'Poliof40 - LIVROB'!$K$256,0)</f>
        <v>40</v>
      </c>
      <c r="S854" s="88">
        <f>IF('Poliof40 - LIVROB'!$K$256&gt;0,('Poliof40 - LIVROB'!$L$260)/'Poliof40 - LIVROB'!$K$256,0)</f>
        <v>40</v>
      </c>
      <c r="T854" s="88">
        <f>IF('Poliof40 - LIVROB'!$K$256&gt;0,('Poliof40 - LIVROB'!$M$260)/'Poliof40 - LIVROB'!$K$256,0)</f>
        <v>32.94117647058824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t="12.75" hidden="1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17.647058823529413</v>
      </c>
      <c r="E855" s="101"/>
      <c r="F855" s="44"/>
      <c r="G855" s="102">
        <f>IF('Poliof40 - LIVROB'!$K$263&gt;0,('Poliof40 - LIVROB'!$E$267)/'Poliof40 - LIVROB'!$K$263,0)</f>
        <v>38.82352941176471</v>
      </c>
      <c r="H855" s="79"/>
      <c r="I855" s="44"/>
      <c r="J855" s="102">
        <f>IF('Poliof40 - LIVROB'!$K$263&gt;0,('Poliof40 - LIVROB'!$F$267)/'Poliof40 - LIVROB'!$K$263,0)</f>
        <v>72.94117647058823</v>
      </c>
      <c r="K855" s="79"/>
      <c r="L855" s="44"/>
      <c r="M855" s="102">
        <f>IF('Poliof40 - LIVROB'!$K$263&gt;0,('Poliof40 - LIVROB'!$G$267)/'Poliof40 - LIVROB'!$K$263,0)</f>
        <v>62.35294117647059</v>
      </c>
      <c r="N855" s="79"/>
      <c r="O855" s="99">
        <f>IF('Poliof40 - LIVROB'!$K$263&gt;0,('Poliof40 - LIVROB'!$H$267)/'Poliof40 - LIVROB'!$K$263,0)</f>
        <v>64.70588235294117</v>
      </c>
      <c r="P855" s="99">
        <f>IF('Poliof40 - LIVROB'!$K$263&gt;0,('Poliof40 - LIVROB'!$I$267)/'Poliof40 - LIVROB'!$K$263,0)</f>
        <v>55.294117647058826</v>
      </c>
      <c r="Q855" s="99">
        <f>IF('Poliof40 - LIVROB'!$K$263&gt;0,('Poliof40 - LIVROB'!$J$267)/'Poliof40 - LIVROB'!$K$263,0)</f>
        <v>85.88235294117648</v>
      </c>
      <c r="R855" s="99">
        <f>IF('Poliof40 - LIVROB'!$K$263&gt;0,('Poliof40 - LIVROB'!$K$267)/'Poliof40 - LIVROB'!$K$263,0)</f>
        <v>71.76470588235294</v>
      </c>
      <c r="S855" s="99">
        <f>IF('Poliof40 - LIVROB'!$K$263&gt;0,('Poliof40 - LIVROB'!$L$267)/'Poliof40 - LIVROB'!$K$263,0)</f>
        <v>65.88235294117648</v>
      </c>
      <c r="T855" s="99">
        <f>IF('Poliof40 - LIVROB'!$K$263&gt;0,('Poliof40 - LIVROB'!$M$267)/'Poliof40 - LIVROB'!$K$263,0)</f>
        <v>56.470588235294116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t="12.75" hidden="1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15.294117647058824</v>
      </c>
      <c r="E856" s="101"/>
      <c r="F856" s="44"/>
      <c r="G856" s="102">
        <f>IF('Poliof40 - LIVROB'!$K$270&gt;0,('Poliof40 - LIVROB'!$E$274)/'Poliof40 - LIVROB'!$K$270,0)</f>
        <v>27.058823529411764</v>
      </c>
      <c r="H856" s="79"/>
      <c r="I856" s="44"/>
      <c r="J856" s="102">
        <f>IF('Poliof40 - LIVROB'!$K$270&gt;0,('Poliof40 - LIVROB'!$F$274)/'Poliof40 - LIVROB'!$K$270,0)</f>
        <v>36.470588235294116</v>
      </c>
      <c r="K856" s="79"/>
      <c r="L856" s="44"/>
      <c r="M856" s="102">
        <f>IF('Poliof40 - LIVROB'!$K$270&gt;0,('Poliof40 - LIVROB'!$G$274)/'Poliof40 - LIVROB'!$K$270,0)</f>
        <v>36.470588235294116</v>
      </c>
      <c r="N856" s="79"/>
      <c r="O856" s="99">
        <f>IF('Poliof40 - LIVROB'!$K$270&gt;0,('Poliof40 - LIVROB'!$H$274)/'Poliof40 - LIVROB'!$K$270,0)</f>
        <v>29.411764705882355</v>
      </c>
      <c r="P856" s="99">
        <f>IF('Poliof40 - LIVROB'!$K$270&gt;0,('Poliof40 - LIVROB'!$I$274)/'Poliof40 - LIVROB'!$K$270,0)</f>
        <v>42.35294117647059</v>
      </c>
      <c r="Q856" s="99">
        <f>IF('Poliof40 - LIVROB'!$K$270&gt;0,('Poliof40 - LIVROB'!$J$274)/'Poliof40 - LIVROB'!$K$270,0)</f>
        <v>42.35294117647059</v>
      </c>
      <c r="R856" s="99">
        <f>IF('Poliof40 - LIVROB'!$K$270&gt;0,('Poliof40 - LIVROB'!$K$274)/'Poliof40 - LIVROB'!$K$270,0)</f>
        <v>42.35294117647059</v>
      </c>
      <c r="S856" s="99">
        <f>IF('Poliof40 - LIVROB'!$K$270&gt;0,('Poliof40 - LIVROB'!$L$274)/'Poliof40 - LIVROB'!$K$270,0)</f>
        <v>42.35294117647059</v>
      </c>
      <c r="T856" s="99">
        <f>IF('Poliof40 - LIVROB'!$K$270&gt;0,('Poliof40 - LIVROB'!$M$274)/'Poliof40 - LIVROB'!$K$270,0)</f>
        <v>35.294117647058826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42.35294117647059</v>
      </c>
      <c r="E857" s="96"/>
      <c r="F857" s="50"/>
      <c r="G857" s="97">
        <f>IF('Poliof40 - LIVROB'!$K$277&gt;0,('Poliof40 - LIVROB'!$E$281)/'Poliof40 - LIVROB'!$K$277,0)</f>
        <v>54.11764705882353</v>
      </c>
      <c r="H857" s="80"/>
      <c r="I857" s="50"/>
      <c r="J857" s="97">
        <f>IF('Poliof40 - LIVROB'!$K$277&gt;0,('Poliof40 - LIVROB'!$F$281)/'Poliof40 - LIVROB'!$K$277,0)</f>
        <v>89.41176470588236</v>
      </c>
      <c r="K857" s="80"/>
      <c r="L857" s="50"/>
      <c r="M857" s="97">
        <f>IF('Poliof40 - LIVROB'!$K$277&gt;0,('Poliof40 - LIVROB'!$G$281)/'Poliof40 - LIVROB'!$K$277,0)</f>
        <v>78.82352941176471</v>
      </c>
      <c r="N857" s="80"/>
      <c r="O857" s="94">
        <f>IF('Poliof40 - LIVROB'!$K$277&gt;0,('Poliof40 - LIVROB'!$H$281)/'Poliof40 - LIVROB'!$K$277,0)</f>
        <v>90.58823529411765</v>
      </c>
      <c r="P857" s="94">
        <f>IF('Poliof40 - LIVROB'!$K$277&gt;0,('Poliof40 - LIVROB'!$I$281)/'Poliof40 - LIVROB'!$K$277,0)</f>
        <v>82.3529411764706</v>
      </c>
      <c r="Q857" s="94">
        <f>IF('Poliof40 - LIVROB'!$K$277&gt;0,('Poliof40 - LIVROB'!$J$281)/'Poliof40 - LIVROB'!$K$277,0)</f>
        <v>112.94117647058823</v>
      </c>
      <c r="R857" s="94">
        <f>IF('Poliof40 - LIVROB'!$K$277&gt;0,('Poliof40 - LIVROB'!$K$281)/'Poliof40 - LIVROB'!$K$277,0)</f>
        <v>98.82352941176471</v>
      </c>
      <c r="S857" s="94">
        <f>IF('Poliof40 - LIVROB'!$K$277&gt;0,('Poliof40 - LIVROB'!$L$281)/'Poliof40 - LIVROB'!$K$277,0)</f>
        <v>91.76470588235294</v>
      </c>
      <c r="T857" s="94">
        <f>IF('Poliof40 - LIVROB'!$K$277&gt;0,('Poliof40 - LIVROB'!$M$281)/'Poliof40 - LIVROB'!$K$277,0)</f>
        <v>83.52941176470588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t="12.75" hidden="1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Bot="1" thickTop="1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customHeight="1" hidden="1" thickTop="1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t="12.75" hidden="1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t="12.75" hidden="1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t="12.75" hidden="1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t="12.75" hidden="1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t="12.75" hidden="1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t="12.75" hidden="1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t="12.75" hidden="1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Bot="1" thickTop="1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customHeight="1" hidden="1" thickBot="1" thickTop="1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customHeight="1" hidden="1" thickBot="1" thickTop="1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t="12.75" hidden="1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t="12.75" hidden="1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t="12.75" hidden="1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t="12.75" hidden="1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t="12.75" hidden="1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="14" customFormat="1" ht="12.75" hidden="1" thickTop="1">
      <c r="W884" s="235"/>
    </row>
    <row r="885" s="13" customFormat="1" ht="12" hidden="1">
      <c r="W885" s="236"/>
    </row>
    <row r="886" s="13" customFormat="1" ht="12" hidden="1">
      <c r="W886" s="236"/>
    </row>
    <row r="887" s="13" customFormat="1" ht="12" hidden="1">
      <c r="W887" s="236"/>
    </row>
    <row r="888" s="13" customFormat="1" ht="12" hidden="1">
      <c r="W888" s="236"/>
    </row>
    <row r="889" s="13" customFormat="1" ht="12" hidden="1">
      <c r="W889" s="236"/>
    </row>
    <row r="890" s="13" customFormat="1" ht="12" hidden="1">
      <c r="W890" s="236"/>
    </row>
    <row r="891" s="13" customFormat="1" ht="12" hidden="1">
      <c r="W891" s="236"/>
    </row>
    <row r="892" s="13" customFormat="1" ht="12" hidden="1">
      <c r="W892" s="236"/>
    </row>
    <row r="893" s="13" customFormat="1" ht="12" hidden="1">
      <c r="W893" s="236"/>
    </row>
    <row r="894" s="13" customFormat="1" ht="12" hidden="1">
      <c r="W894" s="236"/>
    </row>
    <row r="895" s="13" customFormat="1" ht="12" hidden="1">
      <c r="W895" s="236"/>
    </row>
    <row r="896" s="13" customFormat="1" ht="12" hidden="1">
      <c r="W896" s="236"/>
    </row>
    <row r="897" s="13" customFormat="1" ht="12" hidden="1">
      <c r="W897" s="236"/>
    </row>
    <row r="898" s="13" customFormat="1" ht="12" hidden="1">
      <c r="W898" s="236"/>
    </row>
    <row r="899" s="13" customFormat="1" ht="12" hidden="1">
      <c r="W899" s="236"/>
    </row>
    <row r="900" s="13" customFormat="1" ht="12" hidden="1">
      <c r="W900" s="236"/>
    </row>
    <row r="901" s="13" customFormat="1" ht="12" hidden="1">
      <c r="W901" s="236"/>
    </row>
    <row r="902" s="13" customFormat="1" ht="12" hidden="1">
      <c r="W902" s="236"/>
    </row>
    <row r="903" s="13" customFormat="1" ht="12" hidden="1">
      <c r="W903" s="236"/>
    </row>
    <row r="904" s="13" customFormat="1" ht="12" hidden="1">
      <c r="W904" s="236"/>
    </row>
    <row r="905" s="13" customFormat="1" ht="12" hidden="1">
      <c r="W905" s="236"/>
    </row>
    <row r="906" s="13" customFormat="1" ht="12" hidden="1">
      <c r="W906" s="236"/>
    </row>
    <row r="907" s="13" customFormat="1" ht="12" hidden="1">
      <c r="W907" s="236"/>
    </row>
    <row r="908" s="13" customFormat="1" ht="12" hidden="1">
      <c r="W908" s="236"/>
    </row>
    <row r="909" s="13" customFormat="1" ht="12" hidden="1">
      <c r="W909" s="236"/>
    </row>
    <row r="910" s="13" customFormat="1" ht="12" hidden="1">
      <c r="W910" s="236"/>
    </row>
    <row r="911" s="13" customFormat="1" ht="12" hidden="1">
      <c r="W911" s="236"/>
    </row>
    <row r="912" s="13" customFormat="1" ht="12" hidden="1">
      <c r="W912" s="236"/>
    </row>
    <row r="913" s="13" customFormat="1" ht="12" hidden="1">
      <c r="W913" s="236"/>
    </row>
    <row r="914" s="13" customFormat="1" ht="12" hidden="1">
      <c r="W914" s="236"/>
    </row>
    <row r="915" s="13" customFormat="1" ht="12" hidden="1">
      <c r="W915" s="236"/>
    </row>
    <row r="916" s="13" customFormat="1" ht="12" hidden="1">
      <c r="W916" s="236"/>
    </row>
    <row r="917" s="13" customFormat="1" ht="12" hidden="1">
      <c r="W917" s="236"/>
    </row>
    <row r="918" s="13" customFormat="1" ht="12" hidden="1">
      <c r="W918" s="236"/>
    </row>
    <row r="919" s="13" customFormat="1" ht="12" hidden="1">
      <c r="W919" s="236"/>
    </row>
    <row r="920" s="13" customFormat="1" ht="12" hidden="1">
      <c r="W920" s="236"/>
    </row>
    <row r="921" s="13" customFormat="1" ht="12" hidden="1">
      <c r="W921" s="236"/>
    </row>
    <row r="922" s="13" customFormat="1" ht="12" hidden="1">
      <c r="W922" s="236"/>
    </row>
    <row r="923" s="13" customFormat="1" ht="12" hidden="1">
      <c r="W923" s="236"/>
    </row>
    <row r="924" s="13" customFormat="1" ht="12" hidden="1">
      <c r="W924" s="236"/>
    </row>
    <row r="925" s="13" customFormat="1" ht="12" hidden="1">
      <c r="W925" s="236"/>
    </row>
    <row r="926" s="13" customFormat="1" ht="12" hidden="1">
      <c r="W926" s="236"/>
    </row>
    <row r="927" s="13" customFormat="1" ht="12" hidden="1">
      <c r="W927" s="236"/>
    </row>
    <row r="928" s="13" customFormat="1" ht="12" hidden="1">
      <c r="W928" s="236"/>
    </row>
    <row r="929" s="13" customFormat="1" ht="12" hidden="1">
      <c r="W929" s="236"/>
    </row>
    <row r="930" s="13" customFormat="1" ht="12" hidden="1">
      <c r="W930" s="236"/>
    </row>
    <row r="931" s="13" customFormat="1" ht="12" hidden="1">
      <c r="W931" s="236"/>
    </row>
    <row r="932" s="13" customFormat="1" ht="12" hidden="1">
      <c r="W932" s="236"/>
    </row>
    <row r="933" s="13" customFormat="1" ht="12" hidden="1">
      <c r="W933" s="236"/>
    </row>
    <row r="934" s="13" customFormat="1" ht="12" hidden="1">
      <c r="W934" s="236"/>
    </row>
    <row r="935" s="13" customFormat="1" ht="12" hidden="1">
      <c r="W935" s="236"/>
    </row>
    <row r="936" s="13" customFormat="1" ht="12" hidden="1">
      <c r="W936" s="236"/>
    </row>
    <row r="937" s="13" customFormat="1" ht="12" hidden="1">
      <c r="W937" s="236"/>
    </row>
    <row r="938" s="13" customFormat="1" ht="12" hidden="1">
      <c r="W938" s="236"/>
    </row>
    <row r="939" spans="1:23" s="6" customFormat="1" ht="12" hidden="1">
      <c r="A939" s="391"/>
      <c r="W939" s="237"/>
    </row>
    <row r="940" spans="1:25" ht="12.75" hidden="1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2.75" hidden="1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t="12.75" hidden="1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2.75" hidden="1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2.75" hidden="1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2.75" hidden="1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2.75" hidden="1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2.75" hidden="1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2.75" hidden="1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2.75" hidden="1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2.75" hidden="1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2.75" hidden="1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2.75" hidden="1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2.75" hidden="1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2.75" hidden="1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2.75" hidden="1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ht="12.75" hidden="1">
      <c r="A956" s="1">
        <f>TRUNC('Poliof40 - LIVROB'!$G$510)</f>
        <v>2</v>
      </c>
    </row>
    <row r="957" ht="12.75" hidden="1">
      <c r="A957" s="1">
        <f>TRUNC('Poliof40 - LIVROB'!$G$511)</f>
        <v>2</v>
      </c>
    </row>
    <row r="958" ht="12.75" hidden="1">
      <c r="A958" s="1">
        <f>TRUNC('Poliof40 - LIVROB'!$G$512)</f>
        <v>3</v>
      </c>
    </row>
    <row r="959" ht="12.75" hidden="1">
      <c r="A959" s="1">
        <f>TRUNC('Poliof40 - LIVROB'!$G$513)</f>
        <v>1</v>
      </c>
    </row>
    <row r="960" ht="12.75" hidden="1">
      <c r="A960" s="1">
        <f>TRUNC('Poliof40 - LIVROB'!$G$517)</f>
        <v>1</v>
      </c>
    </row>
    <row r="961" ht="12.75" hidden="1">
      <c r="A961" s="1">
        <f>TRUNC('Poliof40 - LIVROB'!$G$518)</f>
        <v>1</v>
      </c>
    </row>
    <row r="962" ht="12.75" hidden="1">
      <c r="A962" s="1">
        <f>TRUNC('Poliof40 - LIVROB'!$G$519)</f>
        <v>1</v>
      </c>
    </row>
    <row r="963" ht="12.75" hidden="1">
      <c r="A963" s="1">
        <f>TRUNC('Poliof40 - LIVROB'!$G$520)</f>
        <v>1</v>
      </c>
    </row>
    <row r="964" ht="12.75" hidden="1">
      <c r="A964" s="1">
        <f>TRUNC('Poliof40 - LIVROB'!$G$521)</f>
        <v>1</v>
      </c>
    </row>
    <row r="965" ht="12.75" hidden="1">
      <c r="A965" s="1">
        <f>TRUNC('Poliof40 - LIVROB'!$G$523)</f>
        <v>2</v>
      </c>
    </row>
    <row r="966" ht="12.75" hidden="1">
      <c r="A966" s="1">
        <f>TRUNC('Poliof40 - LIVROB'!$G$527)</f>
        <v>0</v>
      </c>
    </row>
    <row r="967" ht="12.75" hidden="1">
      <c r="A967" s="1">
        <f>TRUNC('Poliof40 - LIVROB'!$G$529)</f>
        <v>13000</v>
      </c>
    </row>
    <row r="968" ht="12.75" hidden="1">
      <c r="A968"/>
    </row>
    <row r="969" ht="12.75" hidden="1">
      <c r="A969"/>
    </row>
    <row r="970" ht="12.75" hidden="1">
      <c r="A970"/>
    </row>
    <row r="971" ht="12.75" hidden="1">
      <c r="A971"/>
    </row>
    <row r="972" ht="12.75" hidden="1">
      <c r="A972"/>
    </row>
    <row r="973" ht="12.75" hidden="1">
      <c r="A973"/>
    </row>
    <row r="974" ht="12.75" hidden="1">
      <c r="A974"/>
    </row>
    <row r="975" ht="12.75" hidden="1">
      <c r="A975"/>
    </row>
    <row r="976" ht="12.75" hidden="1">
      <c r="A976"/>
    </row>
    <row r="977" ht="12.75" hidden="1">
      <c r="A977" s="1"/>
    </row>
    <row r="978" ht="12.75" hidden="1">
      <c r="A978" s="1"/>
    </row>
    <row r="979" ht="12.75" hidden="1">
      <c r="A979" s="1"/>
    </row>
    <row r="980" ht="12.75" hidden="1">
      <c r="A980" s="1"/>
    </row>
    <row r="981" ht="12.75" hidden="1">
      <c r="A981" s="1"/>
    </row>
    <row r="982" ht="12.75" hidden="1">
      <c r="A982" s="1"/>
    </row>
    <row r="983" ht="12.75" hidden="1">
      <c r="A983" s="1"/>
    </row>
    <row r="984" ht="12.75" hidden="1">
      <c r="A984" s="1"/>
    </row>
    <row r="985" ht="12.75" hidden="1">
      <c r="A985" s="1"/>
    </row>
    <row r="986" ht="12.75" hidden="1">
      <c r="A986" s="1"/>
    </row>
    <row r="987" ht="12.75" hidden="1">
      <c r="A987" s="1"/>
    </row>
    <row r="988" ht="12.75" hidden="1">
      <c r="A988" s="391"/>
    </row>
    <row r="989" spans="1:27" ht="12.75" hidden="1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hidden="1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404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hidden="1">
      <c r="A991" s="1">
        <f>TRUNC(IF('Poliof40 - LIVROB'!$AD$620=1,'Poliof40 - LIVROB'!$D$628,'Poliof40 - LIVROB'!$D$629))</f>
        <v>28</v>
      </c>
      <c r="B991" s="2" t="s">
        <v>312</v>
      </c>
      <c r="C991" s="1">
        <f>TRUNC(IF('Poliof40 - LIVROB'!$AD$620=1,'Poliof40 - LIVROB'!$E$628,'Poliof40 - LIVROB'!$E$629))</f>
        <v>21</v>
      </c>
      <c r="D991" s="2" t="s">
        <v>312</v>
      </c>
      <c r="E991" s="1">
        <f>TRUNC(IF('Poliof40 - LIVROB'!$AD$620=1,'Poliof40 - LIVROB'!$F$628,'Poliof40 - LIVROB'!$F$629))</f>
        <v>21</v>
      </c>
      <c r="F991" s="2" t="s">
        <v>312</v>
      </c>
      <c r="G991" s="1">
        <f>TRUNC(IF('Poliof40 - LIVROB'!$AD$620=1,'Poliof40 - LIVROB'!$G$628,'Poliof40 - LIVROB'!$G$629))</f>
        <v>28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hidden="1">
      <c r="A992" s="1">
        <f>TRUNC(IF('Poliof40 - LIVROB'!$AD$620=1,'Poliof40 - LIVROB'!$D$630,'Poliof40 - LIVROB'!$D$631))</f>
        <v>38</v>
      </c>
      <c r="B992" s="2" t="s">
        <v>312</v>
      </c>
      <c r="C992" s="1">
        <f>TRUNC(IF('Poliof40 - LIVROB'!$AD$620=1,'Poliof40 - LIVROB'!$E$630,'Poliof40 - LIVROB'!$E$631))</f>
        <v>37</v>
      </c>
      <c r="D992" s="2" t="s">
        <v>312</v>
      </c>
      <c r="E992" s="1">
        <f>TRUNC(IF('Poliof40 - LIVROB'!$AD$620=1,'Poliof40 - LIVROB'!$F$630,'Poliof40 - LIVROB'!$F$631))</f>
        <v>31</v>
      </c>
      <c r="F992" s="2" t="s">
        <v>312</v>
      </c>
      <c r="G992" s="1">
        <f>TRUNC(IF('Poliof40 - LIVROB'!$AD$620=1,'Poliof40 - LIVROB'!$G$630,'Poliof40 - LIVROB'!$G$631))</f>
        <v>60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hidden="1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38</v>
      </c>
      <c r="D993" s="2" t="s">
        <v>312</v>
      </c>
      <c r="E993" s="1">
        <f>TRUNC(IF('Poliof40 - LIVROB'!$AD$620=1,'Poliof40 - LIVROB'!$F$634,'Poliof40 - LIVROB'!$F$635))</f>
        <v>38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hidden="1">
      <c r="A994" s="1">
        <f>TRUNC(IF('Poliof40 - LIVROB'!$AD$620=1,'Poliof40 - LIVROB'!$D$638,'Poliof40 - LIVROB'!$D$639))</f>
        <v>20</v>
      </c>
      <c r="B994" s="2" t="s">
        <v>312</v>
      </c>
      <c r="C994" s="1">
        <f>TRUNC(IF('Poliof40 - LIVROB'!$AD$620=1,'Poliof40 - LIVROB'!$E$638,'Poliof40 - LIVROB'!$E$639))</f>
        <v>22</v>
      </c>
      <c r="D994" s="2" t="s">
        <v>312</v>
      </c>
      <c r="E994" s="1">
        <f>TRUNC(IF('Poliof40 - LIVROB'!$AD$620=1,'Poliof40 - LIVROB'!$F$638,'Poliof40 - LIVROB'!$F$639))</f>
        <v>29</v>
      </c>
      <c r="F994" s="2" t="s">
        <v>312</v>
      </c>
      <c r="G994" s="1">
        <f>TRUNC(IF('Poliof40 - LIVROB'!$AD$620=1,'Poliof40 - LIVROB'!$G$638,'Poliof40 - LIVROB'!$G$639))</f>
        <v>29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hidden="1">
      <c r="A995" s="1">
        <f>TRUNC(IF('Poliof40 - LIVROB'!$AD$620=1,'Poliof40 - LIVROB'!$D$640,'Poliof40 - LIVROB'!$D$641))</f>
        <v>22</v>
      </c>
      <c r="B995" s="2" t="s">
        <v>312</v>
      </c>
      <c r="C995" s="1">
        <f>TRUNC(IF('Poliof40 - LIVROB'!$AD$620=1,'Poliof40 - LIVROB'!$E$640,'Poliof40 - LIVROB'!$E$641))</f>
        <v>33</v>
      </c>
      <c r="D995" s="2" t="s">
        <v>312</v>
      </c>
      <c r="E995" s="1">
        <f>TRUNC(IF('Poliof40 - LIVROB'!$AD$620=1,'Poliof40 - LIVROB'!$F$640,'Poliof40 - LIVROB'!$F$641))</f>
        <v>63</v>
      </c>
      <c r="F995" s="2" t="s">
        <v>312</v>
      </c>
      <c r="G995" s="1">
        <f>TRUNC(IF('Poliof40 - LIVROB'!$AD$620=1,'Poliof40 - LIVROB'!$G$640,'Poliof40 - LIVROB'!$G$641))</f>
        <v>54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hidden="1">
      <c r="A996" s="1">
        <f>TRUNC(IF('Poliof40 - LIVROB'!$AD$620=1,'Poliof40 - LIVROB'!$D$642,'Poliof40 - LIVROB'!$D$643))</f>
        <v>23</v>
      </c>
      <c r="B996" s="2" t="s">
        <v>312</v>
      </c>
      <c r="C996" s="1">
        <f>TRUNC(IF('Poliof40 - LIVROB'!$AD$620=1,'Poliof40 - LIVROB'!$E$642,'Poliof40 - LIVROB'!$E$643))</f>
        <v>23</v>
      </c>
      <c r="D996" s="2" t="s">
        <v>312</v>
      </c>
      <c r="E996" s="1">
        <f>TRUNC(IF('Poliof40 - LIVROB'!$AD$620=1,'Poliof40 - LIVROB'!$F$642,'Poliof40 - LIVROB'!$F$643))</f>
        <v>31</v>
      </c>
      <c r="F996" s="2" t="s">
        <v>312</v>
      </c>
      <c r="G996" s="1">
        <f>TRUNC(IF('Poliof40 - LIVROB'!$AD$620=1,'Poliof40 - LIVROB'!$G$642,'Poliof40 - LIVROB'!$G$643))</f>
        <v>31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hidden="1">
      <c r="A997" s="1">
        <f>TRUNC(IF('Poliof40 - LIVROB'!$AD$620=1,'Poliof40 - LIVROB'!$D$644,'Poliof40 - LIVROB'!$D$645))</f>
        <v>37</v>
      </c>
      <c r="B997" s="2" t="s">
        <v>312</v>
      </c>
      <c r="C997" s="1">
        <f>TRUNC(IF('Poliof40 - LIVROB'!$AD$620=1,'Poliof40 - LIVROB'!$E$644,'Poliof40 - LIVROB'!$E$645))</f>
        <v>46</v>
      </c>
      <c r="D997" s="2" t="s">
        <v>312</v>
      </c>
      <c r="E997" s="1">
        <f>TRUNC(IF('Poliof40 - LIVROB'!$AD$620=1,'Poliof40 - LIVROB'!$F$644,'Poliof40 - LIVROB'!$F$645))</f>
        <v>77</v>
      </c>
      <c r="F997" s="2" t="s">
        <v>312</v>
      </c>
      <c r="G997" s="1">
        <f>TRUNC(IF('Poliof40 - LIVROB'!$AD$620=1,'Poliof40 - LIVROB'!$G$644,'Poliof40 - LIVROB'!$G$645))</f>
        <v>68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hidden="1">
      <c r="A998" s="1">
        <f>TRUNC(IF('Poliof40 - LIVROB'!$AD$620=1,'Poliof40 - LIVROB'!$D$646,'Poliof40 - LIVROB'!$D$647))</f>
        <v>1019</v>
      </c>
      <c r="B998" s="2" t="s">
        <v>312</v>
      </c>
      <c r="C998" s="1">
        <f>TRUNC(IF('Poliof40 - LIVROB'!$AD$620=1,'Poliof40 - LIVROB'!$E$646,'Poliof40 - LIVROB'!$E$647))</f>
        <v>1535</v>
      </c>
      <c r="D998" s="2" t="s">
        <v>312</v>
      </c>
      <c r="E998" s="1">
        <f>TRUNC(IF('Poliof40 - LIVROB'!$AD$620=1,'Poliof40 - LIVROB'!$F$646,'Poliof40 - LIVROB'!$F$647))</f>
        <v>2085</v>
      </c>
      <c r="F998" s="2" t="s">
        <v>312</v>
      </c>
      <c r="G998" s="1">
        <f>TRUNC(IF('Poliof40 - LIVROB'!$AD$620=1,'Poliof40 - LIVROB'!$G$646,'Poliof40 - LIVROB'!$G$647))</f>
        <v>2028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hidden="1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105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105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hidden="1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hidden="1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 hidden="1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 hidden="1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t="12.75" hidden="1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t="12.75" hidden="1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t="12.75" hidden="1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t="12.75" hidden="1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 hidden="1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 hidden="1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 hidden="1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 hidden="1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 hidden="1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 hidden="1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 hidden="1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 hidden="1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 hidden="1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 hidden="1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 hidden="1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 hidden="1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t="12.75" hidden="1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t="12.75" hidden="1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t="12.75" hidden="1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t="12.75" hidden="1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t="12.75" hidden="1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t="12.75" hidden="1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t="12.75" hidden="1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t="12.75" hidden="1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t="12.75" hidden="1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t="12.75" hidden="1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t="12.75" hidden="1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t="12.75" hidden="1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t="12.75" hidden="1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t="12.75" hidden="1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t="12.75" hidden="1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t="12.75" hidden="1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t="12.75" hidden="1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t="12.75" hidden="1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t="12.75" hidden="1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t="12.75" hidden="1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t="12.75" hidden="1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t="12.75" hidden="1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t="12.75" hidden="1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t="12.75" hidden="1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t="12.75" hidden="1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t="12.75" hidden="1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t="12.75" hidden="1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t="12.75" hidden="1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2.75" hidden="1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2.75" hidden="1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2.75" hidden="1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</sheetData>
  <sheetProtection password="CC02" sheet="1" objects="1" scenarios="1"/>
  <printOptions/>
  <pageMargins left="0.7874015748031497" right="0.7874015748031497" top="0.7874015748031497" bottom="0.7874015748031497" header="0.492125985" footer="0.492125985"/>
  <pageSetup blackAndWhite="1" fitToHeight="3" fitToWidth="1" horizontalDpi="300" verticalDpi="300" orientation="portrait" scale="48" r:id="rId3"/>
  <headerFooter alignWithMargins="0">
    <oddHeader>&amp;C&amp;"Arial,Negrito"&amp;14Grupo 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George</cp:lastModifiedBy>
  <dcterms:created xsi:type="dcterms:W3CDTF">2001-01-17T00:43:41Z</dcterms:created>
  <dcterms:modified xsi:type="dcterms:W3CDTF">2001-01-24T02:27:36Z</dcterms:modified>
  <cp:category/>
  <cp:version/>
  <cp:contentType/>
  <cp:contentStatus/>
</cp:coreProperties>
</file>